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activeX/activeX5.xml" ContentType="application/vnd.ms-office.activeX+xml"/>
  <Override PartName="/xl/activeX/activeX1.xml" ContentType="application/vnd.ms-office.activeX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.bin" ContentType="application/vnd.ms-office.activeX"/>
  <Override PartName="/xl/activeX/activeX13.bin" ContentType="application/vnd.ms-office.activeX"/>
  <Override PartName="/xl/activeX/activeX5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4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ctrlProps/ctrlProp1.xml" ContentType="application/vnd.ms-excel.controlproperties+xml"/>
  <Override PartName="/xl/ctrlProps/ctrlProp2.xml" ContentType="application/vnd.ms-excel.controlproperties+xml"/>
  <Override PartName="/xl/activeX/activeX4.bin" ContentType="application/vnd.ms-office.activeX"/>
  <Override PartName="/xl/activeX/activeX3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2.xml" ContentType="application/vnd.ms-office.activeX+xml"/>
  <Override PartName="/xl/activeX/activeX13.xml" ContentType="application/vnd.ms-office.activeX+xml"/>
  <Override PartName="/xl/activeX/activeX2.bin" ContentType="application/vnd.ms-office.activeX"/>
  <Override PartName="/xl/activeX/activeX11.bin" ContentType="application/vnd.ms-office.activeX"/>
  <Override PartName="/xl/activeX/activeX1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3.xml" ContentType="application/vnd.ms-office.activeX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270" windowWidth="14175" windowHeight="8820"/>
  </bookViews>
  <sheets>
    <sheet name="OSI" sheetId="1" r:id="rId1"/>
    <sheet name="Npu" sheetId="2" r:id="rId2"/>
    <sheet name="tblOsi" sheetId="4" state="hidden" r:id="rId3"/>
    <sheet name="neighb_look up tables" sheetId="3" state="hidden" r:id="rId4"/>
  </sheets>
  <definedNames>
    <definedName name="aeus_covered_by_omp">OSI!$E$7</definedName>
    <definedName name="ag_preserved_score">OSI!$K$18</definedName>
    <definedName name="ag_security_zone">OSI!$E$16</definedName>
    <definedName name="ag_security_zone_score">OSI!$K$16</definedName>
    <definedName name="ag_zoning">OSI!$E$17</definedName>
    <definedName name="ag_zoning_score">OSI!$K$17</definedName>
    <definedName name="AgZoning">tblOsi!$A$14:$A$16</definedName>
    <definedName name="AmountHomes">'neighb_look up tables'!$A$17:$A$22</definedName>
    <definedName name="ASA">tblOsi!$A$17:$A$19</definedName>
    <definedName name="distance_to_nearest_property">OSI!$E$22</definedName>
    <definedName name="distance_to_property_line_score">OSI!$K$22</definedName>
    <definedName name="east_1200_1800_score">Npu!$D$14</definedName>
    <definedName name="east_1800_2400_score">Npu!$E$14</definedName>
    <definedName name="east_2400_3000_score">Npu!$F$14</definedName>
    <definedName name="east_600_1200_score">Npu!$C$14</definedName>
    <definedName name="east_600_score">Npu!$B$14</definedName>
    <definedName name="evaluation_distance">OSI!$E$8</definedName>
    <definedName name="facility_size_covered_by_omp">OSI!$E$11</definedName>
    <definedName name="facility_size_score">OSI!$K$11</definedName>
    <definedName name="final_osi_score">OSI!$K$28</definedName>
    <definedName name="LivestockHistory">tblOsi!$A$2:$A$7</definedName>
    <definedName name="N1200to1800Shielding">'neighb_look up tables'!$A$66:$A$69</definedName>
    <definedName name="N1800to2400Shielding">'neighb_look up tables'!$A$70:$A$73</definedName>
    <definedName name="N2400to3000Shielding">'neighb_look up tables'!$A$74:$A$77</definedName>
    <definedName name="N600to1200Shielding">'neighb_look up tables'!$A$62:$A$65</definedName>
    <definedName name="neighbor_homes_score">OSI!$K$24</definedName>
    <definedName name="neighbor_preserved">OSI!$E$23</definedName>
    <definedName name="neighbor_preserved_score">OSI!$K$23</definedName>
    <definedName name="NeighborPreserved">tblOsi!$A$40:$A$43</definedName>
    <definedName name="north_1200_1800_score">Npu!$D$47</definedName>
    <definedName name="north_1800_2400_score">Npu!$E$47</definedName>
    <definedName name="north_2400_3000_score">Npu!$F$47</definedName>
    <definedName name="north_600_1200_score">Npu!$C$47</definedName>
    <definedName name="north_600_score">Npu!$B$47</definedName>
    <definedName name="Other_from_scc">OSI!#REF!</definedName>
    <definedName name="other_livestock_in_evaluation">OSI!$E$21</definedName>
    <definedName name="other_livestock_score">OSI!$K$21</definedName>
    <definedName name="OtherLivestockOps">tblOsi!$A$34:$A$36</definedName>
    <definedName name="part_a_source_factors">OSI!$K$11:$K$13</definedName>
    <definedName name="part_b_site_land_use">OSI!$K$16:$K$18</definedName>
    <definedName name="part_c_surrounding_land_use">OSI!$K$21:$K$26</definedName>
    <definedName name="Preserved">tblOsi!$A$11:$A$13</definedName>
    <definedName name="preserved_farm">OSI!$E$18</definedName>
    <definedName name="Previously_Approve_AEUs">OSI!$E$6</definedName>
    <definedName name="_xlnm.Print_Area" localSheetId="1">Npu!$A$2:$H$66</definedName>
    <definedName name="_xlnm.Print_Area" localSheetId="0">OSI!$A$1:$K$31</definedName>
    <definedName name="PropertyLine">tblOsi!$E$34:$E$37</definedName>
    <definedName name="pub_use_facilities_score">OSI!$K$25</definedName>
    <definedName name="site_livestock_history">OSI!$E$12</definedName>
    <definedName name="site_livestock_history_score">OSI!$K$12</definedName>
    <definedName name="south_1200_1800_score">Npu!$D$30</definedName>
    <definedName name="south_1800_2400_score">Npu!$E$30</definedName>
    <definedName name="south_2400_3000_score">Npu!$F$30</definedName>
    <definedName name="south_600_1200_score">Npu!$C$30</definedName>
    <definedName name="south_600_score">Npu!$B$30</definedName>
    <definedName name="Species_factor">OSI!$K$27</definedName>
    <definedName name="species_type">OSI!#REF!</definedName>
    <definedName name="species_type_score">OSI!#REF!</definedName>
    <definedName name="SpeciesType">tblOsi!$E$21:$E$31</definedName>
    <definedName name="storage_type">OSI!$E$13</definedName>
    <definedName name="storage_type_score">OSI!$K$13</definedName>
    <definedName name="StorageType">tblOsi!$E$3:$E$15</definedName>
    <definedName name="total_part_a">OSI!$K$14</definedName>
    <definedName name="total_part_b">OSI!$K$19</definedName>
    <definedName name="total_part_c">OSI!$K$26</definedName>
    <definedName name="type_of_operation">OSI!$E$3</definedName>
    <definedName name="Under600Shielding">'neighb_look up tables'!$A$58:$A$61</definedName>
    <definedName name="west_1200_1800_score">Npu!$D$64</definedName>
    <definedName name="west_1800_2400_score">Npu!$E$64</definedName>
    <definedName name="west_2400_3000_score">Npu!$F$64</definedName>
    <definedName name="west_600_1200_score">Npu!$C$64</definedName>
    <definedName name="west_600_score">Npu!$B$64</definedName>
  </definedNames>
  <calcPr calcId="145621"/>
</workbook>
</file>

<file path=xl/calcChain.xml><?xml version="1.0" encoding="utf-8"?>
<calcChain xmlns="http://schemas.openxmlformats.org/spreadsheetml/2006/main">
  <c r="E27" i="1" l="1"/>
  <c r="E11" i="1" l="1"/>
  <c r="E4" i="2"/>
  <c r="F54" i="2"/>
  <c r="F37" i="2"/>
  <c r="F20" i="2"/>
  <c r="E54" i="2"/>
  <c r="E37" i="2"/>
  <c r="E20" i="2"/>
  <c r="F4" i="2"/>
  <c r="A30" i="1"/>
  <c r="B30" i="1"/>
  <c r="A31" i="1"/>
  <c r="B31" i="1"/>
  <c r="A32" i="1"/>
  <c r="B32" i="1"/>
  <c r="A29" i="1"/>
  <c r="B29" i="1"/>
  <c r="K2" i="1"/>
  <c r="K3" i="1"/>
  <c r="K4" i="1"/>
  <c r="K5" i="1"/>
  <c r="K7" i="1"/>
  <c r="K8" i="1"/>
  <c r="K1" i="1"/>
  <c r="L1" i="1"/>
  <c r="L2" i="1"/>
  <c r="L3" i="1"/>
  <c r="L4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D29" i="1"/>
  <c r="E29" i="1"/>
  <c r="K29" i="1"/>
  <c r="L29" i="1"/>
  <c r="K30" i="1"/>
  <c r="L30" i="1"/>
  <c r="K31" i="1"/>
  <c r="L31" i="1"/>
  <c r="L32" i="1"/>
  <c r="C29" i="1"/>
  <c r="K11" i="1" l="1"/>
  <c r="K12" i="1"/>
  <c r="C24" i="4"/>
  <c r="E30" i="1"/>
  <c r="C31" i="1"/>
  <c r="C32" i="1"/>
  <c r="D32" i="1"/>
  <c r="E32" i="1"/>
  <c r="F32" i="1"/>
  <c r="G32" i="1"/>
  <c r="H32" i="1"/>
  <c r="I32" i="1"/>
  <c r="J32" i="1"/>
  <c r="K32" i="1"/>
  <c r="D30" i="1"/>
  <c r="F30" i="1"/>
  <c r="G30" i="1"/>
  <c r="H30" i="1"/>
  <c r="I30" i="1"/>
  <c r="J30" i="1"/>
  <c r="C30" i="1"/>
  <c r="K23" i="1"/>
  <c r="K22" i="1"/>
  <c r="K21" i="1"/>
  <c r="K13" i="1"/>
  <c r="B45" i="2"/>
  <c r="C45" i="2"/>
  <c r="D45" i="2"/>
  <c r="E45" i="2"/>
  <c r="F45" i="2"/>
  <c r="B26" i="2"/>
  <c r="F7" i="2"/>
  <c r="E7" i="2"/>
  <c r="D7" i="2"/>
  <c r="C7" i="2"/>
  <c r="B7" i="2"/>
  <c r="F21" i="2"/>
  <c r="E21" i="2"/>
  <c r="E5" i="2"/>
  <c r="F5" i="2"/>
  <c r="D4" i="2"/>
  <c r="D5" i="2" s="1"/>
  <c r="B20" i="2"/>
  <c r="B21" i="2" s="1"/>
  <c r="C20" i="2"/>
  <c r="C21" i="2" s="1"/>
  <c r="D20" i="2"/>
  <c r="D21" i="2" s="1"/>
  <c r="C4" i="2"/>
  <c r="C5" i="2" s="1"/>
  <c r="B4" i="2"/>
  <c r="B23" i="2"/>
  <c r="F43" i="2"/>
  <c r="C60" i="2"/>
  <c r="D60" i="2"/>
  <c r="E60" i="2"/>
  <c r="F60" i="2"/>
  <c r="B60" i="2"/>
  <c r="B43" i="2"/>
  <c r="C43" i="2"/>
  <c r="D43" i="2"/>
  <c r="E43" i="2"/>
  <c r="C26" i="2"/>
  <c r="D26" i="2"/>
  <c r="E26" i="2"/>
  <c r="F26" i="2"/>
  <c r="B10" i="2"/>
  <c r="E10" i="2"/>
  <c r="F10" i="2"/>
  <c r="C10" i="2"/>
  <c r="D10" i="2"/>
  <c r="C62" i="2"/>
  <c r="D62" i="2"/>
  <c r="E62" i="2"/>
  <c r="F62" i="2"/>
  <c r="B62" i="2"/>
  <c r="C57" i="2"/>
  <c r="D57" i="2"/>
  <c r="E57" i="2"/>
  <c r="F57" i="2"/>
  <c r="B57" i="2"/>
  <c r="B40" i="2"/>
  <c r="C40" i="2"/>
  <c r="D40" i="2"/>
  <c r="E40" i="2"/>
  <c r="F40" i="2"/>
  <c r="B28" i="2"/>
  <c r="C28" i="2"/>
  <c r="D28" i="2"/>
  <c r="E28" i="2"/>
  <c r="E29" i="2" s="1"/>
  <c r="F28" i="2"/>
  <c r="C23" i="2"/>
  <c r="D23" i="2"/>
  <c r="E23" i="2"/>
  <c r="F23" i="2"/>
  <c r="B12" i="2"/>
  <c r="C12" i="2"/>
  <c r="D12" i="2"/>
  <c r="E12" i="2"/>
  <c r="F12" i="2"/>
  <c r="F38" i="2"/>
  <c r="E38" i="2"/>
  <c r="F55" i="2"/>
  <c r="E55" i="2"/>
  <c r="C54" i="2"/>
  <c r="C55" i="2" s="1"/>
  <c r="D54" i="2"/>
  <c r="D55" i="2" s="1"/>
  <c r="B54" i="2"/>
  <c r="B55" i="2" s="1"/>
  <c r="B37" i="2"/>
  <c r="B38" i="2" s="1"/>
  <c r="C37" i="2"/>
  <c r="C38" i="2" s="1"/>
  <c r="D37" i="2"/>
  <c r="D38" i="2" s="1"/>
  <c r="D29" i="2" l="1"/>
  <c r="B29" i="2"/>
  <c r="F29" i="2"/>
  <c r="F63" i="2"/>
  <c r="E13" i="2"/>
  <c r="E63" i="2"/>
  <c r="D13" i="2"/>
  <c r="C13" i="2"/>
  <c r="F13" i="2"/>
  <c r="B13" i="2"/>
  <c r="C29" i="2"/>
  <c r="B63" i="2"/>
  <c r="C63" i="2"/>
  <c r="D63" i="2"/>
  <c r="D24" i="2"/>
  <c r="C24" i="2"/>
  <c r="F8" i="2"/>
  <c r="E8" i="2"/>
  <c r="H25" i="2"/>
  <c r="D8" i="2"/>
  <c r="C8" i="2"/>
  <c r="C58" i="2"/>
  <c r="D58" i="2"/>
  <c r="E58" i="2"/>
  <c r="F58" i="2"/>
  <c r="B58" i="2"/>
  <c r="E41" i="2"/>
  <c r="B24" i="2"/>
  <c r="F41" i="2"/>
  <c r="D41" i="2"/>
  <c r="C41" i="2"/>
  <c r="B41" i="2"/>
  <c r="E24" i="2"/>
  <c r="F24" i="2"/>
  <c r="B5" i="2"/>
  <c r="B8" i="2" s="1"/>
  <c r="H59" i="2" l="1"/>
  <c r="H9" i="2"/>
  <c r="E8" i="1"/>
  <c r="F46" i="2"/>
  <c r="E46" i="2"/>
  <c r="D46" i="2"/>
  <c r="C46" i="2"/>
  <c r="B46" i="2"/>
  <c r="H42" i="2" l="1"/>
  <c r="F14" i="2"/>
  <c r="E14" i="2"/>
  <c r="D14" i="2"/>
  <c r="H8" i="2"/>
  <c r="H6" i="2" s="1"/>
  <c r="C14" i="2"/>
  <c r="H41" i="2"/>
  <c r="B64" i="2"/>
  <c r="H58" i="2"/>
  <c r="H56" i="2" s="1"/>
  <c r="E64" i="2"/>
  <c r="E47" i="2"/>
  <c r="F47" i="2"/>
  <c r="D47" i="2"/>
  <c r="K14" i="1"/>
  <c r="F64" i="2"/>
  <c r="C64" i="2"/>
  <c r="D64" i="2"/>
  <c r="B47" i="2"/>
  <c r="C47" i="2"/>
  <c r="H44" i="2" l="1"/>
  <c r="H39" i="2"/>
  <c r="H11" i="2"/>
  <c r="H24" i="2"/>
  <c r="K24" i="1" l="1"/>
  <c r="H22" i="2"/>
  <c r="H61" i="2"/>
  <c r="K25" i="1"/>
  <c r="H27" i="2"/>
  <c r="K26" i="1" l="1"/>
  <c r="H65" i="2"/>
  <c r="H64" i="2"/>
  <c r="K18" i="1" l="1"/>
  <c r="K17" i="1"/>
  <c r="K16" i="1"/>
  <c r="B92" i="3"/>
  <c r="B93" i="3"/>
  <c r="K19" i="1" l="1"/>
  <c r="K27" i="1" s="1"/>
  <c r="H29" i="1"/>
  <c r="J29" i="1"/>
  <c r="G29" i="1"/>
  <c r="I29" i="1"/>
  <c r="F29" i="1"/>
  <c r="K28" i="1" l="1"/>
  <c r="E31" i="1" s="1"/>
  <c r="K42" i="2" l="1"/>
</calcChain>
</file>

<file path=xl/sharedStrings.xml><?xml version="1.0" encoding="utf-8"?>
<sst xmlns="http://schemas.openxmlformats.org/spreadsheetml/2006/main" count="431" uniqueCount="174">
  <si>
    <t>Operator Name</t>
  </si>
  <si>
    <t>Planner Name</t>
  </si>
  <si>
    <t>Type of Operation</t>
  </si>
  <si>
    <t>Evaluation Distance</t>
  </si>
  <si>
    <t>Site Livestock History</t>
  </si>
  <si>
    <t>Ag Security  Zone</t>
  </si>
  <si>
    <t>Ag Zoning</t>
  </si>
  <si>
    <t>Preserved  Farm</t>
  </si>
  <si>
    <t>Part C: Surrounding Land Use</t>
  </si>
  <si>
    <t>Distance to Nearest Property Line</t>
  </si>
  <si>
    <t>If nearest property is &lt;300', is it  preserved farmland</t>
  </si>
  <si>
    <t>Neighboring Homes</t>
  </si>
  <si>
    <t>Public Use Facilities</t>
  </si>
  <si>
    <t>OSI Score</t>
  </si>
  <si>
    <t>Total part B</t>
  </si>
  <si>
    <t>Total part A</t>
  </si>
  <si>
    <t>Total part C</t>
  </si>
  <si>
    <t>Other</t>
  </si>
  <si>
    <t>East Quadrant</t>
  </si>
  <si>
    <t>Home score</t>
  </si>
  <si>
    <t>Public use Score</t>
  </si>
  <si>
    <t>Home shielding factor</t>
  </si>
  <si>
    <t>Public use shield factor</t>
  </si>
  <si>
    <t>All Shielded</t>
  </si>
  <si>
    <t>Some shielded</t>
  </si>
  <si>
    <t>None Shielded</t>
  </si>
  <si>
    <t>6-20</t>
  </si>
  <si>
    <t>&gt;20</t>
  </si>
  <si>
    <t>South Quadrant</t>
  </si>
  <si>
    <t>North Quadrant</t>
  </si>
  <si>
    <t>West Quadrant</t>
  </si>
  <si>
    <t>Final OSI Score</t>
  </si>
  <si>
    <t>Select from list</t>
  </si>
  <si>
    <t>Select from List</t>
  </si>
  <si>
    <t>Total Home</t>
  </si>
  <si>
    <t>Total Public</t>
  </si>
  <si>
    <t>Total home</t>
  </si>
  <si>
    <t xml:space="preserve"> </t>
  </si>
  <si>
    <t>Grand total</t>
  </si>
  <si>
    <t>Swine</t>
  </si>
  <si>
    <t>Ducks</t>
  </si>
  <si>
    <t>Layers</t>
  </si>
  <si>
    <t>Veal</t>
  </si>
  <si>
    <t>Pullets</t>
  </si>
  <si>
    <t>Cattle</t>
  </si>
  <si>
    <t>Broilers</t>
  </si>
  <si>
    <t>Turkeys</t>
  </si>
  <si>
    <t>Horses</t>
  </si>
  <si>
    <t>Other= Call SCC</t>
  </si>
  <si>
    <t>Proposed AEUs</t>
  </si>
  <si>
    <t>Species Adjustment Factor</t>
  </si>
  <si>
    <t>Total</t>
  </si>
  <si>
    <t>Total East</t>
  </si>
  <si>
    <t>Total South</t>
  </si>
  <si>
    <t>Total West</t>
  </si>
  <si>
    <t>Total North</t>
  </si>
  <si>
    <t>Zero (5pts)</t>
  </si>
  <si>
    <t>1 or more (0 pts)</t>
  </si>
  <si>
    <t>&lt;150' (10 pts)</t>
  </si>
  <si>
    <t>151' to 300' (5 pts)</t>
  </si>
  <si>
    <t>&gt;300' (0 pts)</t>
  </si>
  <si>
    <t>Zero AEUs _12pts</t>
  </si>
  <si>
    <t>1-49 AEUs _9pts</t>
  </si>
  <si>
    <t>50-199 AEUs _6pts</t>
  </si>
  <si>
    <t>200-499 AEUs _3pts</t>
  </si>
  <si>
    <t>500+ AEUs _0 pts</t>
  </si>
  <si>
    <t>Poultry - 3 sided,roofed,attached shed(air dried)_2pts</t>
  </si>
  <si>
    <t>Poultry- Litter cleaned each flock and exported at cleanout_2pts</t>
  </si>
  <si>
    <t>Cattle- Bedded Pack_2pts</t>
  </si>
  <si>
    <r>
      <t xml:space="preserve">All - Outdoor </t>
    </r>
    <r>
      <rPr>
        <u/>
        <sz val="8"/>
        <color indexed="8"/>
        <rFont val="Calibri"/>
        <family val="2"/>
      </rPr>
      <t>impermeable</t>
    </r>
    <r>
      <rPr>
        <sz val="8"/>
        <color indexed="8"/>
        <rFont val="Calibri"/>
        <family val="2"/>
      </rPr>
      <t xml:space="preserve"> covered storage, wet or dry _ 4pts</t>
    </r>
  </si>
  <si>
    <t>Poultry - Multi-flock litter, with or w/o external covered storage-4pts</t>
  </si>
  <si>
    <r>
      <t>All - Outdoor covered liquid(</t>
    </r>
    <r>
      <rPr>
        <u/>
        <sz val="8"/>
        <color indexed="8"/>
        <rFont val="Calibri"/>
        <family val="2"/>
      </rPr>
      <t>permeable</t>
    </r>
    <r>
      <rPr>
        <sz val="8"/>
        <color indexed="8"/>
        <rFont val="Calibri"/>
        <family val="2"/>
      </rPr>
      <t>)_8pts</t>
    </r>
  </si>
  <si>
    <t>All - Outdoor uncovered liquid(crust expected on 1st stage) _ 8pts</t>
  </si>
  <si>
    <t>All - Outdoor uncovered liquid, no crust expected_ 16pts</t>
  </si>
  <si>
    <t>All - Outdoor uncovered dry _ 8pts</t>
  </si>
  <si>
    <t>Yes (-5 pts)</t>
  </si>
  <si>
    <t>No (0 pts)</t>
  </si>
  <si>
    <t>Voluntary Existing AEUs</t>
  </si>
  <si>
    <t>N/A (0 pts)</t>
  </si>
  <si>
    <t>Swine,duck,veal (.15)</t>
  </si>
  <si>
    <t>Layers,pullets,cattle (0)</t>
  </si>
  <si>
    <t>Broilers,turkeys (-.1)</t>
  </si>
  <si>
    <t>Horses (-.5)</t>
  </si>
  <si>
    <t>&lt;600</t>
  </si>
  <si>
    <t>600-1200</t>
  </si>
  <si>
    <t>1200-1800</t>
  </si>
  <si>
    <t>1800-2400</t>
  </si>
  <si>
    <t>2400-3000</t>
  </si>
  <si>
    <t>2-5</t>
  </si>
  <si>
    <t>1</t>
  </si>
  <si>
    <t>East</t>
  </si>
  <si>
    <t>South</t>
  </si>
  <si>
    <t>North</t>
  </si>
  <si>
    <t>West</t>
  </si>
  <si>
    <t>Point Value for homes</t>
  </si>
  <si>
    <t>total value</t>
  </si>
  <si>
    <t>Shielding factors</t>
  </si>
  <si>
    <t>&lt;600 None (1)</t>
  </si>
  <si>
    <t xml:space="preserve">&lt;600 Some (.75) </t>
  </si>
  <si>
    <t>600-1200 Some (.6)</t>
  </si>
  <si>
    <t>600-1200 None (1)</t>
  </si>
  <si>
    <t>1200-1800 Some (.5)</t>
  </si>
  <si>
    <t>1200-1800 None (1)</t>
  </si>
  <si>
    <t>1800-2400  None (1)</t>
  </si>
  <si>
    <t>2400-3000 None (1)</t>
  </si>
  <si>
    <t>2400-3000 Some (.5)</t>
  </si>
  <si>
    <t>1800-2400 Some (.5)</t>
  </si>
  <si>
    <t>Select From List</t>
  </si>
  <si>
    <t>&lt;600 All (.5)</t>
  </si>
  <si>
    <t>600-1200 All  (.4)</t>
  </si>
  <si>
    <t>1200-1800 All  (.25)</t>
  </si>
  <si>
    <t>1800-2400 All  (.25)</t>
  </si>
  <si>
    <t>2400-3000 All  (.25)</t>
  </si>
  <si>
    <t>Total Facilities</t>
  </si>
  <si>
    <t>'Waiting for user input'</t>
  </si>
  <si>
    <t>Waiting for user input'</t>
  </si>
  <si>
    <t>Manure Handling System</t>
  </si>
  <si>
    <t>OSI</t>
  </si>
  <si>
    <t>No BMPs Required</t>
  </si>
  <si>
    <t>Level 1 BMPs Required</t>
  </si>
  <si>
    <t>Level 2 BMPs Required</t>
  </si>
  <si>
    <t>AEUs</t>
  </si>
  <si>
    <t>No AEUs covered by this OMP</t>
  </si>
  <si>
    <t>Other= (Call SCC)</t>
  </si>
  <si>
    <t>Equine - 3+ sided, roofed_ 2pts</t>
  </si>
  <si>
    <t>No (0 pct)</t>
  </si>
  <si>
    <t>Yes (-5 pct)</t>
  </si>
  <si>
    <t>Yes (-20 pct)</t>
  </si>
  <si>
    <t>Yes (-10 pct)</t>
  </si>
  <si>
    <t>None</t>
  </si>
  <si>
    <t>Poultry/ Swine / Cattle - deep pit  under building, liquid or dry _ 4pts</t>
  </si>
  <si>
    <t>All - In-barn storage, dry manure only - no detached storage_ 2pts</t>
  </si>
  <si>
    <t>Previously Approved AEUs</t>
  </si>
  <si>
    <t>AEUs Covered by OMP</t>
  </si>
  <si>
    <t>Part A: Odor Source Factors</t>
  </si>
  <si>
    <t>Facility Size Covered by OMP</t>
  </si>
  <si>
    <t>Part B: Site Land Use</t>
  </si>
  <si>
    <t>Other Livestock &gt;8 AEU in evaluation distance</t>
  </si>
  <si>
    <t xml:space="preserve"># Neighboring Facilities </t>
  </si>
  <si>
    <t>Facility Value</t>
  </si>
  <si>
    <t>Home Shielding</t>
  </si>
  <si>
    <t xml:space="preserve"># Public Use Facilities  </t>
  </si>
  <si>
    <t>Public Use Shielding</t>
  </si>
  <si>
    <t>Total Value</t>
  </si>
  <si>
    <t>Public Use Value</t>
  </si>
  <si>
    <t># Neighboring Facilities</t>
  </si>
  <si>
    <t>Home Score</t>
  </si>
  <si>
    <t>Home Shielding Factor</t>
  </si>
  <si>
    <t>Grand Total</t>
  </si>
  <si>
    <t>LandUseTable</t>
  </si>
  <si>
    <t>LivestockHistory</t>
  </si>
  <si>
    <t>StorageType</t>
  </si>
  <si>
    <t>SpeciesAdjustmentFactor</t>
  </si>
  <si>
    <t>SpeciesType</t>
  </si>
  <si>
    <t>PropertyLine</t>
  </si>
  <si>
    <t>NeighborPreserved</t>
  </si>
  <si>
    <t>EDALookup</t>
  </si>
  <si>
    <t>FacilitySize</t>
  </si>
  <si>
    <t>Auto-fillSpeciesAdj</t>
  </si>
  <si>
    <t>Shielding</t>
  </si>
  <si>
    <t>PublicUseFacilities</t>
  </si>
  <si>
    <t>OSIScore</t>
  </si>
  <si>
    <t>NeighboringFactors</t>
  </si>
  <si>
    <t>NeighboringGrouping</t>
  </si>
  <si>
    <t>ASA</t>
  </si>
  <si>
    <t>AgZoning</t>
  </si>
  <si>
    <t>Preserved</t>
  </si>
  <si>
    <t>OtherLivestockOps</t>
  </si>
  <si>
    <t>AmountHomes</t>
  </si>
  <si>
    <t>Under600Shielding</t>
  </si>
  <si>
    <t>N600to1200Shielding</t>
  </si>
  <si>
    <t>N1200to1800Shielding</t>
  </si>
  <si>
    <t>N1800to2400Shielding</t>
  </si>
  <si>
    <t>N2400to3000Shielding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</si>
</sst>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gradientFill degree="90">
        <stop position="0">
          <color rgb="FFFFFFCC"/>
        </stop>
        <stop position="1">
          <color rgb="FFFFCCFF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Protection="1"/>
    <xf numFmtId="0" fontId="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3" borderId="0" xfId="0" applyFill="1" applyBorder="1" applyProtection="1"/>
    <xf numFmtId="0" fontId="6" fillId="0" borderId="0" xfId="0" applyFont="1" applyProtection="1"/>
    <xf numFmtId="49" fontId="0" fillId="0" borderId="0" xfId="0" applyNumberFormat="1" applyProtection="1"/>
    <xf numFmtId="49" fontId="0" fillId="0" borderId="3" xfId="0" applyNumberFormat="1" applyBorder="1" applyProtection="1"/>
    <xf numFmtId="49" fontId="0" fillId="0" borderId="4" xfId="0" applyNumberFormat="1" applyBorder="1" applyProtection="1"/>
    <xf numFmtId="49" fontId="0" fillId="0" borderId="6" xfId="0" applyNumberFormat="1" applyBorder="1" applyProtection="1"/>
    <xf numFmtId="49" fontId="0" fillId="0" borderId="7" xfId="0" applyNumberFormat="1" applyBorder="1" applyProtection="1"/>
    <xf numFmtId="0" fontId="4" fillId="2" borderId="1" xfId="0" applyFont="1" applyFill="1" applyBorder="1" applyAlignment="1" applyProtection="1">
      <alignment horizontal="right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wrapText="1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0" fillId="6" borderId="6" xfId="0" applyFont="1" applyFill="1" applyBorder="1" applyProtection="1"/>
    <xf numFmtId="0" fontId="0" fillId="0" borderId="8" xfId="0" applyFont="1" applyBorder="1" applyProtection="1"/>
    <xf numFmtId="0" fontId="0" fillId="0" borderId="10" xfId="0" applyFont="1" applyFill="1" applyBorder="1" applyProtection="1"/>
    <xf numFmtId="0" fontId="0" fillId="0" borderId="9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4" fillId="0" borderId="2" xfId="0" applyFont="1" applyBorder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Border="1" applyProtection="1"/>
    <xf numFmtId="0" fontId="0" fillId="0" borderId="12" xfId="0" applyFont="1" applyBorder="1" applyProtection="1"/>
    <xf numFmtId="0" fontId="0" fillId="0" borderId="10" xfId="0" applyFont="1" applyBorder="1" applyProtection="1"/>
    <xf numFmtId="0" fontId="0" fillId="0" borderId="9" xfId="0" applyFont="1" applyBorder="1" applyProtection="1"/>
    <xf numFmtId="0" fontId="4" fillId="4" borderId="13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3" fillId="0" borderId="9" xfId="0" applyFont="1" applyBorder="1" applyAlignment="1" applyProtection="1"/>
    <xf numFmtId="0" fontId="0" fillId="0" borderId="2" xfId="0" applyFont="1" applyFill="1" applyBorder="1" applyProtection="1"/>
    <xf numFmtId="0" fontId="4" fillId="0" borderId="12" xfId="0" applyFont="1" applyBorder="1" applyProtection="1"/>
    <xf numFmtId="0" fontId="3" fillId="7" borderId="8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13" xfId="0" applyFont="1" applyFill="1" applyBorder="1" applyAlignment="1" applyProtection="1">
      <alignment horizontal="center"/>
    </xf>
    <xf numFmtId="0" fontId="4" fillId="7" borderId="13" xfId="0" applyFont="1" applyFill="1" applyBorder="1" applyAlignment="1" applyProtection="1">
      <alignment horizontal="center"/>
    </xf>
    <xf numFmtId="2" fontId="4" fillId="5" borderId="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5" borderId="13" xfId="0" applyNumberFormat="1" applyFont="1" applyFill="1" applyBorder="1" applyAlignment="1" applyProtection="1">
      <alignment horizontal="center"/>
    </xf>
    <xf numFmtId="0" fontId="4" fillId="5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1" fontId="0" fillId="0" borderId="0" xfId="0" applyNumberFormat="1"/>
    <xf numFmtId="0" fontId="4" fillId="7" borderId="8" xfId="0" applyFont="1" applyFill="1" applyBorder="1" applyAlignment="1" applyProtection="1">
      <alignment horizontal="center"/>
    </xf>
    <xf numFmtId="0" fontId="5" fillId="7" borderId="8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4" fillId="2" borderId="0" xfId="0" applyFont="1" applyFill="1" applyProtection="1"/>
    <xf numFmtId="0" fontId="4" fillId="0" borderId="0" xfId="0" applyFont="1" applyFill="1" applyBorder="1" applyProtection="1"/>
    <xf numFmtId="164" fontId="5" fillId="7" borderId="2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5" fillId="7" borderId="15" xfId="0" applyFont="1" applyFill="1" applyBorder="1" applyAlignment="1" applyProtection="1">
      <alignment horizontal="center"/>
    </xf>
    <xf numFmtId="0" fontId="5" fillId="7" borderId="16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5" fillId="7" borderId="17" xfId="0" applyFont="1" applyFill="1" applyBorder="1" applyAlignment="1" applyProtection="1">
      <alignment horizontal="center"/>
    </xf>
    <xf numFmtId="0" fontId="4" fillId="0" borderId="18" xfId="0" applyFont="1" applyBorder="1" applyProtection="1"/>
    <xf numFmtId="0" fontId="4" fillId="0" borderId="19" xfId="0" applyFont="1" applyBorder="1" applyProtection="1"/>
    <xf numFmtId="164" fontId="5" fillId="7" borderId="12" xfId="0" applyNumberFormat="1" applyFont="1" applyFill="1" applyBorder="1" applyAlignment="1" applyProtection="1">
      <alignment horizontal="center"/>
    </xf>
    <xf numFmtId="164" fontId="5" fillId="7" borderId="16" xfId="0" applyNumberFormat="1" applyFont="1" applyFill="1" applyBorder="1" applyAlignment="1" applyProtection="1">
      <alignment horizontal="center"/>
    </xf>
    <xf numFmtId="164" fontId="5" fillId="7" borderId="9" xfId="0" applyNumberFormat="1" applyFont="1" applyFill="1" applyBorder="1" applyAlignment="1" applyProtection="1">
      <alignment horizontal="center"/>
    </xf>
    <xf numFmtId="0" fontId="4" fillId="0" borderId="13" xfId="0" applyFont="1" applyBorder="1" applyProtection="1"/>
    <xf numFmtId="164" fontId="0" fillId="0" borderId="0" xfId="0" applyNumberFormat="1"/>
    <xf numFmtId="0" fontId="0" fillId="0" borderId="0" xfId="0" quotePrefix="1"/>
    <xf numFmtId="0" fontId="10" fillId="7" borderId="5" xfId="0" applyFont="1" applyFill="1" applyBorder="1" applyAlignment="1" applyProtection="1">
      <alignment horizontal="center"/>
    </xf>
    <xf numFmtId="0" fontId="10" fillId="7" borderId="7" xfId="0" applyFont="1" applyFill="1" applyBorder="1" applyAlignment="1" applyProtection="1">
      <alignment horizontal="center"/>
    </xf>
    <xf numFmtId="49" fontId="4" fillId="0" borderId="20" xfId="0" applyNumberFormat="1" applyFont="1" applyBorder="1" applyProtection="1"/>
    <xf numFmtId="0" fontId="0" fillId="0" borderId="21" xfId="0" applyBorder="1"/>
    <xf numFmtId="49" fontId="4" fillId="0" borderId="22" xfId="0" applyNumberFormat="1" applyFont="1" applyBorder="1" applyProtection="1"/>
    <xf numFmtId="0" fontId="0" fillId="0" borderId="23" xfId="0" applyBorder="1"/>
    <xf numFmtId="0" fontId="4" fillId="0" borderId="22" xfId="0" applyFont="1" applyBorder="1" applyProtection="1"/>
    <xf numFmtId="49" fontId="4" fillId="0" borderId="24" xfId="0" applyNumberFormat="1" applyFont="1" applyBorder="1" applyProtection="1"/>
    <xf numFmtId="0" fontId="0" fillId="0" borderId="25" xfId="0" applyBorder="1"/>
    <xf numFmtId="0" fontId="4" fillId="0" borderId="20" xfId="0" applyFont="1" applyBorder="1" applyProtection="1"/>
    <xf numFmtId="0" fontId="0" fillId="0" borderId="21" xfId="0" quotePrefix="1" applyBorder="1" applyProtection="1"/>
    <xf numFmtId="0" fontId="0" fillId="0" borderId="23" xfId="0" applyBorder="1" applyProtection="1"/>
    <xf numFmtId="0" fontId="4" fillId="0" borderId="22" xfId="0" applyFont="1" applyFill="1" applyBorder="1" applyProtection="1"/>
    <xf numFmtId="0" fontId="0" fillId="0" borderId="23" xfId="0" applyFill="1" applyBorder="1" applyProtection="1"/>
    <xf numFmtId="0" fontId="4" fillId="0" borderId="24" xfId="0" applyFont="1" applyBorder="1" applyProtection="1"/>
    <xf numFmtId="0" fontId="0" fillId="0" borderId="25" xfId="0" applyFill="1" applyBorder="1" applyProtection="1"/>
    <xf numFmtId="0" fontId="4" fillId="0" borderId="20" xfId="0" applyFont="1" applyFill="1" applyBorder="1" applyProtection="1"/>
    <xf numFmtId="164" fontId="0" fillId="0" borderId="21" xfId="0" applyNumberFormat="1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0" xfId="0" applyNumberFormat="1" applyBorder="1"/>
    <xf numFmtId="2" fontId="0" fillId="0" borderId="27" xfId="0" applyNumberFormat="1" applyBorder="1"/>
    <xf numFmtId="0" fontId="0" fillId="0" borderId="20" xfId="0" applyFill="1" applyBorder="1" applyProtection="1"/>
    <xf numFmtId="0" fontId="0" fillId="0" borderId="24" xfId="0" applyFill="1" applyBorder="1" applyProtection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4" fillId="0" borderId="28" xfId="0" applyFont="1" applyBorder="1" applyProtection="1"/>
    <xf numFmtId="49" fontId="4" fillId="4" borderId="13" xfId="0" applyNumberFormat="1" applyFont="1" applyFill="1" applyBorder="1" applyAlignment="1" applyProtection="1">
      <alignment horizontal="center"/>
      <protection locked="0"/>
    </xf>
    <xf numFmtId="49" fontId="4" fillId="4" borderId="8" xfId="0" applyNumberFormat="1" applyFont="1" applyFill="1" applyBorder="1" applyAlignment="1" applyProtection="1">
      <alignment horizontal="center"/>
      <protection locked="0"/>
    </xf>
    <xf numFmtId="49" fontId="4" fillId="4" borderId="9" xfId="0" applyNumberFormat="1" applyFont="1" applyFill="1" applyBorder="1" applyAlignment="1" applyProtection="1">
      <alignment horizontal="center"/>
      <protection locked="0"/>
    </xf>
    <xf numFmtId="0" fontId="0" fillId="0" borderId="29" xfId="0" applyBorder="1"/>
    <xf numFmtId="0" fontId="6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right"/>
    </xf>
    <xf numFmtId="1" fontId="0" fillId="0" borderId="0" xfId="0" quotePrefix="1" applyNumberFormat="1" applyAlignment="1" applyProtection="1">
      <alignment horizontal="right"/>
    </xf>
    <xf numFmtId="0" fontId="4" fillId="4" borderId="30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/>
    </xf>
    <xf numFmtId="0" fontId="4" fillId="7" borderId="30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5" fillId="4" borderId="9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12" fillId="0" borderId="0" xfId="0" applyFont="1" applyAlignment="1" applyProtection="1">
      <alignment horizontal="left" wrapText="1"/>
    </xf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9.emf"/><Relationship Id="rId7" Type="http://schemas.openxmlformats.org/officeDocument/2006/relationships/image" Target="../media/image12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1.emf"/><Relationship Id="rId5" Type="http://schemas.openxmlformats.org/officeDocument/2006/relationships/image" Target="../media/image6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30</xdr:row>
          <xdr:rowOff>161925</xdr:rowOff>
        </xdr:from>
        <xdr:to>
          <xdr:col>0</xdr:col>
          <xdr:colOff>1009650</xdr:colOff>
          <xdr:row>35</xdr:row>
          <xdr:rowOff>9525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Worksheet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0</xdr:row>
          <xdr:rowOff>9525</xdr:rowOff>
        </xdr:from>
        <xdr:to>
          <xdr:col>3</xdr:col>
          <xdr:colOff>0</xdr:colOff>
          <xdr:row>0</xdr:row>
          <xdr:rowOff>180975</xdr:rowOff>
        </xdr:to>
        <xdr:sp macro="" textlink="">
          <xdr:nvSpPr>
            <xdr:cNvPr id="1038" name="imgGeneralInfo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14</xdr:row>
          <xdr:rowOff>57150</xdr:rowOff>
        </xdr:from>
        <xdr:to>
          <xdr:col>2</xdr:col>
          <xdr:colOff>1276350</xdr:colOff>
          <xdr:row>15</xdr:row>
          <xdr:rowOff>19050</xdr:rowOff>
        </xdr:to>
        <xdr:sp macro="" textlink="">
          <xdr:nvSpPr>
            <xdr:cNvPr id="1039" name="imgPartB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19</xdr:row>
          <xdr:rowOff>66675</xdr:rowOff>
        </xdr:from>
        <xdr:to>
          <xdr:col>2</xdr:col>
          <xdr:colOff>1276350</xdr:colOff>
          <xdr:row>20</xdr:row>
          <xdr:rowOff>38100</xdr:rowOff>
        </xdr:to>
        <xdr:sp macro="" textlink="">
          <xdr:nvSpPr>
            <xdr:cNvPr id="1040" name="imgPartC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9</xdr:row>
          <xdr:rowOff>76200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42" name="imgPartA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30</xdr:row>
          <xdr:rowOff>161925</xdr:rowOff>
        </xdr:from>
        <xdr:to>
          <xdr:col>2</xdr:col>
          <xdr:colOff>238125</xdr:colOff>
          <xdr:row>35</xdr:row>
          <xdr:rowOff>38100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 OSI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</xdr:row>
          <xdr:rowOff>0</xdr:rowOff>
        </xdr:from>
        <xdr:to>
          <xdr:col>11</xdr:col>
          <xdr:colOff>9525</xdr:colOff>
          <xdr:row>6</xdr:row>
          <xdr:rowOff>57150</xdr:rowOff>
        </xdr:to>
        <xdr:sp macro="" textlink="">
          <xdr:nvSpPr>
            <xdr:cNvPr id="1045" name="cmdReturn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65</xdr:row>
          <xdr:rowOff>9525</xdr:rowOff>
        </xdr:from>
        <xdr:to>
          <xdr:col>1</xdr:col>
          <xdr:colOff>0</xdr:colOff>
          <xdr:row>68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Worksheet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847725</xdr:colOff>
          <xdr:row>26</xdr:row>
          <xdr:rowOff>57150</xdr:rowOff>
        </xdr:from>
        <xdr:to>
          <xdr:col>11</xdr:col>
          <xdr:colOff>66675</xdr:colOff>
          <xdr:row>34</xdr:row>
          <xdr:rowOff>209550</xdr:rowOff>
        </xdr:to>
        <xdr:sp macro="" textlink="">
          <xdr:nvSpPr>
            <xdr:cNvPr id="2054" name="imgHomesEast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857250</xdr:colOff>
          <xdr:row>34</xdr:row>
          <xdr:rowOff>219075</xdr:rowOff>
        </xdr:from>
        <xdr:to>
          <xdr:col>11</xdr:col>
          <xdr:colOff>66675</xdr:colOff>
          <xdr:row>36</xdr:row>
          <xdr:rowOff>114300</xdr:rowOff>
        </xdr:to>
        <xdr:sp macro="" textlink="">
          <xdr:nvSpPr>
            <xdr:cNvPr id="2059" name="imgPublicUse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57150</xdr:rowOff>
        </xdr:from>
        <xdr:to>
          <xdr:col>10</xdr:col>
          <xdr:colOff>866775</xdr:colOff>
          <xdr:row>34</xdr:row>
          <xdr:rowOff>238125</xdr:rowOff>
        </xdr:to>
        <xdr:sp macro="" textlink="">
          <xdr:nvSpPr>
            <xdr:cNvPr id="2068" name="Label1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34</xdr:row>
          <xdr:rowOff>238125</xdr:rowOff>
        </xdr:from>
        <xdr:to>
          <xdr:col>10</xdr:col>
          <xdr:colOff>866775</xdr:colOff>
          <xdr:row>36</xdr:row>
          <xdr:rowOff>123825</xdr:rowOff>
        </xdr:to>
        <xdr:sp macro="" textlink="">
          <xdr:nvSpPr>
            <xdr:cNvPr id="2069" name="Label2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0</xdr:rowOff>
        </xdr:from>
        <xdr:to>
          <xdr:col>11</xdr:col>
          <xdr:colOff>47625</xdr:colOff>
          <xdr:row>5</xdr:row>
          <xdr:rowOff>38100</xdr:rowOff>
        </xdr:to>
        <xdr:sp macro="" textlink="">
          <xdr:nvSpPr>
            <xdr:cNvPr id="2070" name="cmdReturnEast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38100</xdr:rowOff>
        </xdr:from>
        <xdr:to>
          <xdr:col>11</xdr:col>
          <xdr:colOff>57150</xdr:colOff>
          <xdr:row>17</xdr:row>
          <xdr:rowOff>9525</xdr:rowOff>
        </xdr:to>
        <xdr:sp macro="" textlink="">
          <xdr:nvSpPr>
            <xdr:cNvPr id="2075" name="cmdReturnSouth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9525</xdr:rowOff>
        </xdr:from>
        <xdr:to>
          <xdr:col>11</xdr:col>
          <xdr:colOff>57150</xdr:colOff>
          <xdr:row>21</xdr:row>
          <xdr:rowOff>38100</xdr:rowOff>
        </xdr:to>
        <xdr:sp macro="" textlink="">
          <xdr:nvSpPr>
            <xdr:cNvPr id="2076" name="cmdReturnNorth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11</xdr:col>
          <xdr:colOff>66675</xdr:colOff>
          <xdr:row>26</xdr:row>
          <xdr:rowOff>57150</xdr:rowOff>
        </xdr:to>
        <xdr:sp macro="" textlink="">
          <xdr:nvSpPr>
            <xdr:cNvPr id="2077" name="cmdReturnWest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2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3"/>
  <sheetViews>
    <sheetView tabSelected="1" view="pageLayout" zoomScaleNormal="100" workbookViewId="0">
      <selection activeCell="E1" sqref="E1"/>
    </sheetView>
  </sheetViews>
  <sheetFormatPr defaultColWidth="9.140625" defaultRowHeight="15" x14ac:dyDescent="0.25"/>
  <cols>
    <col min="1" max="1" width="16.85546875" style="3" customWidth="1"/>
    <col min="2" max="2" width="12" style="3" customWidth="1"/>
    <col min="3" max="3" width="19.42578125" style="3" customWidth="1"/>
    <col min="4" max="4" width="7" style="3" hidden="1" customWidth="1"/>
    <col min="5" max="5" width="44.28515625" style="2" customWidth="1"/>
    <col min="6" max="6" width="3.28515625" style="1" hidden="1" customWidth="1"/>
    <col min="7" max="7" width="0.85546875" style="2" hidden="1" customWidth="1"/>
    <col min="8" max="8" width="0.42578125" style="1" hidden="1" customWidth="1"/>
    <col min="9" max="9" width="7.7109375" style="1" hidden="1" customWidth="1"/>
    <col min="10" max="10" width="0.28515625" style="1" hidden="1" customWidth="1"/>
    <col min="11" max="11" width="23.28515625" style="2" customWidth="1"/>
    <col min="12" max="13" width="9.140625" style="1" customWidth="1"/>
    <col min="14" max="14" width="19.5703125" style="3" customWidth="1"/>
    <col min="15" max="15" width="16.7109375" style="1" customWidth="1"/>
    <col min="16" max="16" width="46.28515625" style="1" customWidth="1"/>
    <col min="17" max="30" width="9.140625" style="1" customWidth="1"/>
    <col min="31" max="16384" width="9.140625" style="1"/>
  </cols>
  <sheetData>
    <row r="1" spans="1:17" ht="15.75" x14ac:dyDescent="0.25">
      <c r="A1" s="135" t="s">
        <v>0</v>
      </c>
      <c r="B1" s="136"/>
      <c r="C1" s="136"/>
      <c r="D1" s="137"/>
      <c r="E1" s="42"/>
      <c r="F1" s="27"/>
      <c r="G1" s="28"/>
      <c r="K1" s="66" t="str">
        <f t="shared" ref="K1:L8" si="0">IF(type_of_operation="Other= Call SCC","Call SCC", " ")</f>
        <v xml:space="preserve"> </v>
      </c>
      <c r="L1" s="66" t="str">
        <f t="shared" si="0"/>
        <v xml:space="preserve"> </v>
      </c>
    </row>
    <row r="2" spans="1:17" ht="15.75" x14ac:dyDescent="0.25">
      <c r="A2" s="135" t="s">
        <v>1</v>
      </c>
      <c r="B2" s="136"/>
      <c r="C2" s="136"/>
      <c r="D2" s="137"/>
      <c r="E2" s="42"/>
      <c r="F2" s="27"/>
      <c r="G2" s="28"/>
      <c r="K2" s="66" t="str">
        <f t="shared" si="0"/>
        <v xml:space="preserve"> </v>
      </c>
      <c r="L2" s="66" t="str">
        <f t="shared" si="0"/>
        <v xml:space="preserve"> </v>
      </c>
      <c r="M2" s="5"/>
      <c r="N2" s="53"/>
      <c r="P2" s="3"/>
    </row>
    <row r="3" spans="1:17" ht="15.75" x14ac:dyDescent="0.25">
      <c r="A3" s="135" t="s">
        <v>2</v>
      </c>
      <c r="B3" s="136"/>
      <c r="C3" s="136"/>
      <c r="D3" s="45"/>
      <c r="E3" s="42" t="s">
        <v>32</v>
      </c>
      <c r="F3" s="27"/>
      <c r="G3" s="28"/>
      <c r="K3" s="66" t="str">
        <f t="shared" si="0"/>
        <v xml:space="preserve"> </v>
      </c>
      <c r="L3" s="66" t="str">
        <f t="shared" si="0"/>
        <v xml:space="preserve"> </v>
      </c>
      <c r="P3" s="3"/>
    </row>
    <row r="4" spans="1:17" s="15" customFormat="1" ht="15.75" x14ac:dyDescent="0.25">
      <c r="A4" s="146" t="s">
        <v>77</v>
      </c>
      <c r="B4" s="147"/>
      <c r="C4" s="148"/>
      <c r="D4" s="35"/>
      <c r="E4" s="42"/>
      <c r="F4" s="27"/>
      <c r="G4" s="28"/>
      <c r="K4" s="66" t="str">
        <f t="shared" si="0"/>
        <v xml:space="preserve"> </v>
      </c>
      <c r="L4" s="66" t="str">
        <f t="shared" si="0"/>
        <v xml:space="preserve"> </v>
      </c>
      <c r="N4" s="16"/>
      <c r="P4" s="16"/>
    </row>
    <row r="5" spans="1:17" s="15" customFormat="1" ht="15.75" x14ac:dyDescent="0.25">
      <c r="A5" s="146" t="s">
        <v>49</v>
      </c>
      <c r="B5" s="147"/>
      <c r="C5" s="148"/>
      <c r="D5" s="35"/>
      <c r="E5" s="42"/>
      <c r="F5" s="27"/>
      <c r="G5" s="28"/>
      <c r="K5" s="66" t="str">
        <f t="shared" si="0"/>
        <v xml:space="preserve"> </v>
      </c>
      <c r="L5" s="66" t="str">
        <f t="shared" si="0"/>
        <v xml:space="preserve"> </v>
      </c>
      <c r="N5" s="16"/>
      <c r="P5" s="16"/>
    </row>
    <row r="6" spans="1:17" s="15" customFormat="1" ht="15.75" x14ac:dyDescent="0.25">
      <c r="A6" s="127"/>
      <c r="B6" s="128" t="s">
        <v>132</v>
      </c>
      <c r="C6" s="128"/>
      <c r="D6" s="35"/>
      <c r="E6" s="42"/>
      <c r="F6" s="27"/>
      <c r="G6" s="28"/>
      <c r="K6" s="66"/>
      <c r="L6" s="66"/>
      <c r="N6" s="16"/>
      <c r="P6" s="16"/>
    </row>
    <row r="7" spans="1:17" ht="15.75" x14ac:dyDescent="0.25">
      <c r="A7" s="135" t="s">
        <v>133</v>
      </c>
      <c r="B7" s="136"/>
      <c r="C7" s="136"/>
      <c r="D7" s="137"/>
      <c r="E7" s="42"/>
      <c r="F7" s="27"/>
      <c r="G7" s="28"/>
      <c r="K7" s="66" t="str">
        <f t="shared" si="0"/>
        <v xml:space="preserve"> </v>
      </c>
      <c r="L7" s="66" t="str">
        <f t="shared" si="0"/>
        <v xml:space="preserve"> </v>
      </c>
      <c r="P7" s="3"/>
      <c r="Q7" s="15"/>
    </row>
    <row r="8" spans="1:17" ht="15.75" x14ac:dyDescent="0.25">
      <c r="A8" s="135" t="s">
        <v>3</v>
      </c>
      <c r="B8" s="136"/>
      <c r="C8" s="136"/>
      <c r="D8" s="137"/>
      <c r="E8" s="43" t="str">
        <f>IF(aeus_covered_by_omp&lt;50,"1200'",IF(aeus_covered_by_omp&lt;199.1,"1800'",IF(aeus_covered_by_omp&lt;499.1,"2400'","3000'")))</f>
        <v>1200'</v>
      </c>
      <c r="K8" s="66" t="str">
        <f t="shared" si="0"/>
        <v xml:space="preserve"> </v>
      </c>
      <c r="L8" s="66" t="str">
        <f t="shared" si="0"/>
        <v xml:space="preserve"> </v>
      </c>
      <c r="P8" s="3"/>
      <c r="Q8" s="15"/>
    </row>
    <row r="9" spans="1:17" ht="15.75" x14ac:dyDescent="0.25">
      <c r="A9" s="143"/>
      <c r="B9" s="144"/>
      <c r="C9" s="145"/>
      <c r="D9" s="36"/>
      <c r="E9" s="44"/>
      <c r="K9" s="44"/>
      <c r="L9" s="66" t="str">
        <f t="shared" ref="L9:L29" si="1">IF(type_of_operation="Other= Call SCC","Call SCC", " ")</f>
        <v xml:space="preserve"> </v>
      </c>
      <c r="N9" s="4"/>
      <c r="P9" s="3"/>
      <c r="Q9" s="15"/>
    </row>
    <row r="10" spans="1:17" ht="15.75" x14ac:dyDescent="0.25">
      <c r="A10" s="143" t="s">
        <v>134</v>
      </c>
      <c r="B10" s="144"/>
      <c r="C10" s="145"/>
      <c r="D10" s="44"/>
      <c r="E10" s="44"/>
      <c r="F10" s="44"/>
      <c r="G10" s="44"/>
      <c r="H10" s="44"/>
      <c r="K10" s="44" t="s">
        <v>13</v>
      </c>
      <c r="L10" s="66" t="str">
        <f t="shared" si="1"/>
        <v xml:space="preserve"> </v>
      </c>
      <c r="N10" s="4"/>
      <c r="P10" s="3"/>
      <c r="Q10" s="15"/>
    </row>
    <row r="11" spans="1:17" ht="15.75" x14ac:dyDescent="0.25">
      <c r="A11" s="140" t="s">
        <v>135</v>
      </c>
      <c r="B11" s="141"/>
      <c r="C11" s="141"/>
      <c r="D11" s="142"/>
      <c r="E11" s="54">
        <f>aeus_covered_by_omp</f>
        <v>0</v>
      </c>
      <c r="F11" s="29"/>
      <c r="G11" s="29"/>
      <c r="H11" s="29"/>
      <c r="I11" s="29"/>
      <c r="J11" s="29"/>
      <c r="K11" s="55" t="str">
        <f>VLOOKUP(aeus_covered_by_omp,tblOsi!A60:B70,2)</f>
        <v>No AEUs covered by this OMP</v>
      </c>
      <c r="L11" s="66" t="str">
        <f t="shared" si="1"/>
        <v xml:space="preserve"> </v>
      </c>
      <c r="N11" s="4"/>
      <c r="P11" s="3"/>
      <c r="Q11" s="15"/>
    </row>
    <row r="12" spans="1:17" ht="15.75" x14ac:dyDescent="0.25">
      <c r="A12" s="140" t="s">
        <v>4</v>
      </c>
      <c r="B12" s="141"/>
      <c r="C12" s="141"/>
      <c r="D12" s="142"/>
      <c r="E12" s="42" t="s">
        <v>32</v>
      </c>
      <c r="G12" s="2" t="s">
        <v>17</v>
      </c>
      <c r="K12" s="29" t="str">
        <f>VLOOKUP(site_livestock_history,tblOsi!A2:B7,2,FALSE)</f>
        <v>'Waiting for user input'</v>
      </c>
      <c r="L12" s="66" t="str">
        <f t="shared" si="1"/>
        <v xml:space="preserve"> </v>
      </c>
      <c r="N12" s="4"/>
      <c r="P12" s="3"/>
      <c r="Q12" s="15"/>
    </row>
    <row r="13" spans="1:17" ht="29.25" customHeight="1" x14ac:dyDescent="0.3">
      <c r="A13" s="149" t="s">
        <v>116</v>
      </c>
      <c r="B13" s="141"/>
      <c r="C13" s="141"/>
      <c r="D13" s="142"/>
      <c r="E13" s="42" t="s">
        <v>32</v>
      </c>
      <c r="K13" s="29" t="str">
        <f>VLOOKUP(storage_type,tblOsi!E3:F15,2,FALSE)</f>
        <v>Waiting for user input'</v>
      </c>
      <c r="L13" s="66" t="str">
        <f t="shared" si="1"/>
        <v xml:space="preserve"> </v>
      </c>
      <c r="P13" s="3"/>
      <c r="Q13" s="15"/>
    </row>
    <row r="14" spans="1:17" ht="15.6" x14ac:dyDescent="0.3">
      <c r="A14" s="143"/>
      <c r="B14" s="144"/>
      <c r="C14" s="145"/>
      <c r="D14" s="37"/>
      <c r="E14" s="44"/>
      <c r="G14" s="6" t="s">
        <v>15</v>
      </c>
      <c r="K14" s="52">
        <f>SUM(part_a_source_factors)</f>
        <v>0</v>
      </c>
      <c r="L14" s="66" t="str">
        <f t="shared" si="1"/>
        <v xml:space="preserve"> </v>
      </c>
      <c r="N14" s="4"/>
      <c r="P14" s="3"/>
      <c r="Q14" s="15"/>
    </row>
    <row r="15" spans="1:17" ht="15.6" x14ac:dyDescent="0.3">
      <c r="A15" s="143" t="s">
        <v>136</v>
      </c>
      <c r="B15" s="144"/>
      <c r="C15" s="145"/>
      <c r="D15" s="44"/>
      <c r="E15" s="44"/>
      <c r="K15" s="44"/>
      <c r="L15" s="66" t="str">
        <f t="shared" si="1"/>
        <v xml:space="preserve"> </v>
      </c>
      <c r="P15" s="3"/>
    </row>
    <row r="16" spans="1:17" ht="15.6" x14ac:dyDescent="0.3">
      <c r="A16" s="140" t="s">
        <v>5</v>
      </c>
      <c r="B16" s="141"/>
      <c r="C16" s="141"/>
      <c r="D16" s="142"/>
      <c r="E16" s="42" t="s">
        <v>32</v>
      </c>
      <c r="J16" s="7"/>
      <c r="K16" s="29">
        <f>VLOOKUP(ag_security_zone,tblOsi!$A$17:$B$19,2,FALSE)*-1* (total_part_a+total_part_c)</f>
        <v>0</v>
      </c>
      <c r="L16" s="66" t="str">
        <f t="shared" si="1"/>
        <v xml:space="preserve"> </v>
      </c>
    </row>
    <row r="17" spans="1:16" ht="15.6" x14ac:dyDescent="0.3">
      <c r="A17" s="140" t="s">
        <v>6</v>
      </c>
      <c r="B17" s="141"/>
      <c r="C17" s="141"/>
      <c r="D17" s="142"/>
      <c r="E17" s="42" t="s">
        <v>32</v>
      </c>
      <c r="J17" s="7"/>
      <c r="K17" s="29">
        <f>VLOOKUP(ag_zoning,tblOsi!A14:B16,2,FALSE)*-1* (total_part_a+total_part_c)</f>
        <v>0</v>
      </c>
      <c r="L17" s="66" t="str">
        <f t="shared" si="1"/>
        <v xml:space="preserve"> </v>
      </c>
    </row>
    <row r="18" spans="1:16" ht="15.6" x14ac:dyDescent="0.3">
      <c r="A18" s="140" t="s">
        <v>7</v>
      </c>
      <c r="B18" s="141"/>
      <c r="C18" s="141"/>
      <c r="D18" s="142"/>
      <c r="E18" s="42" t="s">
        <v>32</v>
      </c>
      <c r="J18" s="7"/>
      <c r="K18" s="29">
        <f>VLOOKUP(preserved_farm,tblOsi!A11:B13,2,FALSE)*-1* (total_part_a+total_part_c)</f>
        <v>0</v>
      </c>
      <c r="L18" s="66" t="str">
        <f t="shared" si="1"/>
        <v xml:space="preserve"> </v>
      </c>
    </row>
    <row r="19" spans="1:16" ht="15.6" x14ac:dyDescent="0.3">
      <c r="A19" s="44"/>
      <c r="B19" s="44"/>
      <c r="C19" s="44"/>
      <c r="D19" s="38"/>
      <c r="E19" s="44"/>
      <c r="G19" s="6" t="s">
        <v>14</v>
      </c>
      <c r="K19" s="52">
        <f>SUM(part_b_site_land_use)</f>
        <v>0</v>
      </c>
      <c r="L19" s="66" t="str">
        <f t="shared" si="1"/>
        <v xml:space="preserve"> </v>
      </c>
    </row>
    <row r="20" spans="1:16" ht="15.6" x14ac:dyDescent="0.3">
      <c r="A20" s="143" t="s">
        <v>8</v>
      </c>
      <c r="B20" s="144"/>
      <c r="C20" s="145"/>
      <c r="D20" s="48"/>
      <c r="E20" s="44"/>
      <c r="K20" s="44"/>
      <c r="L20" s="66" t="str">
        <f t="shared" si="1"/>
        <v xml:space="preserve"> </v>
      </c>
    </row>
    <row r="21" spans="1:16" ht="15.6" x14ac:dyDescent="0.3">
      <c r="A21" s="32" t="s">
        <v>137</v>
      </c>
      <c r="B21" s="40"/>
      <c r="C21" s="41"/>
      <c r="D21" s="38"/>
      <c r="E21" s="42" t="s">
        <v>32</v>
      </c>
      <c r="K21" s="52" t="str">
        <f>VLOOKUP(other_livestock_in_evaluation,tblOsi!A34:B36,2,FALSE)</f>
        <v>'Waiting for user input'</v>
      </c>
      <c r="L21" s="66" t="str">
        <f t="shared" si="1"/>
        <v xml:space="preserve"> </v>
      </c>
      <c r="N21" s="16"/>
    </row>
    <row r="22" spans="1:16" ht="15.6" x14ac:dyDescent="0.3">
      <c r="A22" s="32" t="s">
        <v>9</v>
      </c>
      <c r="B22" s="40"/>
      <c r="C22" s="41"/>
      <c r="D22" s="38"/>
      <c r="E22" s="42" t="s">
        <v>32</v>
      </c>
      <c r="K22" s="52" t="str">
        <f>VLOOKUP(distance_to_nearest_property,tblOsi!E34:F37,2,FALSE)</f>
        <v>'Waiting for user input'</v>
      </c>
      <c r="L22" s="66" t="str">
        <f t="shared" si="1"/>
        <v xml:space="preserve"> </v>
      </c>
    </row>
    <row r="23" spans="1:16" ht="15.6" x14ac:dyDescent="0.3">
      <c r="A23" s="32" t="s">
        <v>10</v>
      </c>
      <c r="B23" s="40"/>
      <c r="C23" s="41"/>
      <c r="D23" s="38"/>
      <c r="E23" s="42" t="s">
        <v>32</v>
      </c>
      <c r="K23" s="52" t="str">
        <f>VLOOKUP(neighbor_preserved,tblOsi!A40:B43,2,FALSE)</f>
        <v>'Waiting for user input'</v>
      </c>
      <c r="L23" s="66" t="str">
        <f t="shared" si="1"/>
        <v xml:space="preserve"> </v>
      </c>
    </row>
    <row r="24" spans="1:16" ht="15.75" x14ac:dyDescent="0.25">
      <c r="A24" s="32" t="s">
        <v>11</v>
      </c>
      <c r="B24" s="40"/>
      <c r="C24" s="41"/>
      <c r="D24" s="38"/>
      <c r="E24" s="44"/>
      <c r="K24" s="52">
        <f>Npu!H8+Npu!H24+Npu!H41+Npu!H58</f>
        <v>0</v>
      </c>
      <c r="L24" s="66" t="str">
        <f t="shared" si="1"/>
        <v xml:space="preserve"> </v>
      </c>
      <c r="N24" s="16"/>
    </row>
    <row r="25" spans="1:16" ht="15.75" x14ac:dyDescent="0.25">
      <c r="A25" s="32" t="s">
        <v>12</v>
      </c>
      <c r="B25" s="40"/>
      <c r="C25" s="41"/>
      <c r="D25" s="39"/>
      <c r="E25" s="44"/>
      <c r="K25" s="52">
        <f>Npu!H9+Npu!H25+Npu!H42+Npu!H59</f>
        <v>0</v>
      </c>
      <c r="L25" s="66" t="str">
        <f t="shared" si="1"/>
        <v xml:space="preserve"> </v>
      </c>
    </row>
    <row r="26" spans="1:16" ht="15.75" x14ac:dyDescent="0.25">
      <c r="A26" s="143"/>
      <c r="B26" s="144"/>
      <c r="C26" s="145"/>
      <c r="D26" s="36"/>
      <c r="E26" s="44"/>
      <c r="G26" s="6" t="s">
        <v>16</v>
      </c>
      <c r="K26" s="52">
        <f>SUM(K21:K25)</f>
        <v>0</v>
      </c>
      <c r="L26" s="66" t="str">
        <f t="shared" si="1"/>
        <v xml:space="preserve"> </v>
      </c>
    </row>
    <row r="27" spans="1:16" s="15" customFormat="1" ht="16.5" thickBot="1" x14ac:dyDescent="0.3">
      <c r="A27" s="129" t="s">
        <v>50</v>
      </c>
      <c r="B27" s="33"/>
      <c r="C27" s="34"/>
      <c r="D27" s="46"/>
      <c r="E27" s="55" t="str">
        <f>VLOOKUP(type_of_operation,tblOsi!E21:F31,2,FALSE)</f>
        <v>Select from list</v>
      </c>
      <c r="G27" s="17"/>
      <c r="K27" s="55">
        <f>VLOOKUP(E27,tblOsi!A22:C27,3,FALSE)*(total_part_a+total_part_c+total_part_b)</f>
        <v>0</v>
      </c>
      <c r="L27" s="66" t="str">
        <f t="shared" si="1"/>
        <v xml:space="preserve"> </v>
      </c>
      <c r="N27" s="16"/>
    </row>
    <row r="28" spans="1:16" ht="24" customHeight="1" thickBot="1" x14ac:dyDescent="0.35">
      <c r="A28" s="143"/>
      <c r="B28" s="144"/>
      <c r="C28" s="145"/>
      <c r="D28" s="47"/>
      <c r="E28" s="49" t="s">
        <v>31</v>
      </c>
      <c r="F28" s="138" t="s">
        <v>31</v>
      </c>
      <c r="G28" s="139"/>
      <c r="H28" s="31"/>
      <c r="I28" s="31"/>
      <c r="J28" s="31"/>
      <c r="K28" s="30">
        <f>IF(type_of_operation="Other= Call SCC",10000,(VLOOKUP(E27,tblOsi!A22:C27,3,FALSE)*(total_part_a+total_part_c+total_part_b)))</f>
        <v>0</v>
      </c>
      <c r="L28" s="66" t="str">
        <f t="shared" si="1"/>
        <v xml:space="preserve"> </v>
      </c>
      <c r="O28" s="3"/>
      <c r="P28" s="3"/>
    </row>
    <row r="29" spans="1:16" ht="15.75" x14ac:dyDescent="0.25">
      <c r="A29" s="66" t="str">
        <f t="shared" ref="A29:L32" si="2">IF(type_of_operation="Other= Call SCC","Call SCC", " ")</f>
        <v xml:space="preserve"> </v>
      </c>
      <c r="B29" s="66" t="str">
        <f t="shared" si="2"/>
        <v xml:space="preserve"> </v>
      </c>
      <c r="C29" s="66" t="str">
        <f t="shared" si="2"/>
        <v xml:space="preserve"> </v>
      </c>
      <c r="D29" s="66" t="str">
        <f t="shared" si="2"/>
        <v xml:space="preserve"> </v>
      </c>
      <c r="E29" s="66" t="str">
        <f t="shared" si="2"/>
        <v xml:space="preserve"> </v>
      </c>
      <c r="F29" s="66" t="b">
        <f t="shared" ref="F29:J29" si="3">+IF($E$27= "Other (Call SCC)","Call SCC")</f>
        <v>0</v>
      </c>
      <c r="G29" s="66" t="b">
        <f t="shared" si="3"/>
        <v>0</v>
      </c>
      <c r="H29" s="66" t="b">
        <f t="shared" si="3"/>
        <v>0</v>
      </c>
      <c r="I29" s="66" t="b">
        <f t="shared" si="3"/>
        <v>0</v>
      </c>
      <c r="J29" s="66" t="b">
        <f t="shared" si="3"/>
        <v>0</v>
      </c>
      <c r="K29" s="66" t="str">
        <f>IF(type_of_operation="Other= Call SCC","Call SCC", " ")</f>
        <v xml:space="preserve"> </v>
      </c>
      <c r="L29" s="66" t="str">
        <f t="shared" si="1"/>
        <v xml:space="preserve"> </v>
      </c>
      <c r="O29" s="3"/>
      <c r="P29" s="3"/>
    </row>
    <row r="30" spans="1:16" ht="15.75" x14ac:dyDescent="0.25">
      <c r="A30" s="66" t="str">
        <f t="shared" si="2"/>
        <v xml:space="preserve"> </v>
      </c>
      <c r="B30" s="66" t="str">
        <f t="shared" si="2"/>
        <v xml:space="preserve"> </v>
      </c>
      <c r="C30" s="66" t="str">
        <f t="shared" si="2"/>
        <v xml:space="preserve"> </v>
      </c>
      <c r="D30" s="66" t="str">
        <f t="shared" si="2"/>
        <v xml:space="preserve"> </v>
      </c>
      <c r="E30" s="66" t="str">
        <f t="shared" si="2"/>
        <v xml:space="preserve"> </v>
      </c>
      <c r="F30" s="66" t="str">
        <f t="shared" si="2"/>
        <v xml:space="preserve"> </v>
      </c>
      <c r="G30" s="66" t="str">
        <f t="shared" si="2"/>
        <v xml:space="preserve"> </v>
      </c>
      <c r="H30" s="66" t="str">
        <f t="shared" si="2"/>
        <v xml:space="preserve"> </v>
      </c>
      <c r="I30" s="66" t="str">
        <f t="shared" si="2"/>
        <v xml:space="preserve"> </v>
      </c>
      <c r="J30" s="66" t="str">
        <f t="shared" si="2"/>
        <v xml:space="preserve"> </v>
      </c>
      <c r="K30" s="66" t="str">
        <f t="shared" si="2"/>
        <v xml:space="preserve"> </v>
      </c>
      <c r="L30" s="66" t="str">
        <f t="shared" si="2"/>
        <v xml:space="preserve"> </v>
      </c>
      <c r="O30" s="15"/>
      <c r="P30" s="3"/>
    </row>
    <row r="31" spans="1:16" ht="15.75" x14ac:dyDescent="0.25">
      <c r="A31" s="66" t="str">
        <f t="shared" si="2"/>
        <v xml:space="preserve"> </v>
      </c>
      <c r="B31" s="66" t="str">
        <f t="shared" si="2"/>
        <v xml:space="preserve"> </v>
      </c>
      <c r="C31" s="66" t="str">
        <f>IF(type_of_operation="Other= Call SCC","Call SCC", " ")</f>
        <v xml:space="preserve"> </v>
      </c>
      <c r="E31" s="66" t="str">
        <f>VLOOKUP(final_osi_score,'neighb_look up tables'!A91:B99,2)</f>
        <v>No BMPs Required</v>
      </c>
      <c r="K31" s="66" t="str">
        <f t="shared" si="2"/>
        <v xml:space="preserve"> </v>
      </c>
      <c r="L31" s="66" t="str">
        <f t="shared" si="2"/>
        <v xml:space="preserve"> </v>
      </c>
      <c r="P31" s="3"/>
    </row>
    <row r="32" spans="1:16" ht="15.75" x14ac:dyDescent="0.25">
      <c r="A32" s="66" t="str">
        <f t="shared" si="2"/>
        <v xml:space="preserve"> </v>
      </c>
      <c r="B32" s="66" t="str">
        <f t="shared" si="2"/>
        <v xml:space="preserve"> </v>
      </c>
      <c r="C32" s="66" t="str">
        <f>IF(type_of_operation="Other= Call SCC","Call SCC", " ")</f>
        <v xml:space="preserve"> </v>
      </c>
      <c r="D32" s="66" t="str">
        <f t="shared" ref="D32:J32" si="4">IF(type_of_operation="Other= Call SCC","Call SCC", " ")</f>
        <v xml:space="preserve"> </v>
      </c>
      <c r="E32" s="66" t="str">
        <f t="shared" si="4"/>
        <v xml:space="preserve"> </v>
      </c>
      <c r="F32" s="66" t="str">
        <f t="shared" si="4"/>
        <v xml:space="preserve"> </v>
      </c>
      <c r="G32" s="66" t="str">
        <f t="shared" si="4"/>
        <v xml:space="preserve"> </v>
      </c>
      <c r="H32" s="66" t="str">
        <f t="shared" si="4"/>
        <v xml:space="preserve"> </v>
      </c>
      <c r="I32" s="66" t="str">
        <f t="shared" si="4"/>
        <v xml:space="preserve"> </v>
      </c>
      <c r="J32" s="66" t="str">
        <f t="shared" si="4"/>
        <v xml:space="preserve"> </v>
      </c>
      <c r="K32" s="66" t="str">
        <f>IF(type_of_operation="Other= Call SCC","Call SCC", " ")</f>
        <v xml:space="preserve"> </v>
      </c>
      <c r="L32" s="66" t="str">
        <f>IF(type_of_operation="Other= Call SCC","Call SCC", " ")</f>
        <v xml:space="preserve"> </v>
      </c>
    </row>
    <row r="33" spans="16:16" x14ac:dyDescent="0.25">
      <c r="P33" s="3"/>
    </row>
  </sheetData>
  <sheetProtection password="9F0B" sheet="1" objects="1" scenarios="1" selectLockedCells="1"/>
  <protectedRanges>
    <protectedRange sqref="E16:E18 E21:E23 E12" name="Range2"/>
    <protectedRange sqref="E1:E7" name="Range1"/>
  </protectedRanges>
  <mergeCells count="21">
    <mergeCell ref="A26:C26"/>
    <mergeCell ref="A28:C28"/>
    <mergeCell ref="A14:C14"/>
    <mergeCell ref="A12:D12"/>
    <mergeCell ref="A13:D13"/>
    <mergeCell ref="A1:D1"/>
    <mergeCell ref="A2:D2"/>
    <mergeCell ref="A7:D7"/>
    <mergeCell ref="A8:D8"/>
    <mergeCell ref="F28:G28"/>
    <mergeCell ref="A16:D16"/>
    <mergeCell ref="A17:D17"/>
    <mergeCell ref="A18:D18"/>
    <mergeCell ref="A3:C3"/>
    <mergeCell ref="A10:C10"/>
    <mergeCell ref="A9:C9"/>
    <mergeCell ref="A11:D11"/>
    <mergeCell ref="A5:C5"/>
    <mergeCell ref="A4:C4"/>
    <mergeCell ref="A15:C15"/>
    <mergeCell ref="A20:C20"/>
  </mergeCells>
  <conditionalFormatting sqref="L1:L32 K1:K8 A29:K29 A30:B32">
    <cfRule type="cellIs" dxfId="10" priority="20" operator="equal">
      <formula>"Call SCC"</formula>
    </cfRule>
    <cfRule type="cellIs" dxfId="9" priority="21" operator="equal">
      <formula>"""Call SCC"""</formula>
    </cfRule>
  </conditionalFormatting>
  <conditionalFormatting sqref="L27">
    <cfRule type="cellIs" dxfId="8" priority="19" operator="equal">
      <formula>FALSE</formula>
    </cfRule>
  </conditionalFormatting>
  <conditionalFormatting sqref="L1:L32 K1:K8 A29:K29 A30:B32">
    <cfRule type="cellIs" dxfId="7" priority="18" operator="equal">
      <formula>FALSE</formula>
    </cfRule>
  </conditionalFormatting>
  <conditionalFormatting sqref="K29">
    <cfRule type="cellIs" dxfId="6" priority="17" operator="equal">
      <formula>FALSE</formula>
    </cfRule>
  </conditionalFormatting>
  <conditionalFormatting sqref="E32 C32 E30 C29:C30 K29:L32 D29:E29 L1:L28 K1:K8 A29:B32">
    <cfRule type="containsText" dxfId="5" priority="6" operator="containsText" text="Call SCC">
      <formula>NOT(ISERROR(SEARCH("Call SCC",A1)))</formula>
    </cfRule>
  </conditionalFormatting>
  <conditionalFormatting sqref="C31">
    <cfRule type="containsText" dxfId="4" priority="5" operator="containsText" text="Call SCC">
      <formula>NOT(ISERROR(SEARCH("Call SCC",C31)))</formula>
    </cfRule>
  </conditionalFormatting>
  <conditionalFormatting sqref="L1:L28 K1:K8 A29:L29 A30:B32">
    <cfRule type="containsText" dxfId="3" priority="4" operator="containsText" text="Call SCC">
      <formula>NOT(ISERROR(SEARCH("Call SCC",A1)))</formula>
    </cfRule>
  </conditionalFormatting>
  <conditionalFormatting sqref="L1:L32 K1:K8">
    <cfRule type="containsText" dxfId="2" priority="3" operator="containsText" text="Call SCC">
      <formula>NOT(ISERROR(SEARCH("Call SCC",K1)))</formula>
    </cfRule>
  </conditionalFormatting>
  <conditionalFormatting sqref="L1:L28 K1:K8">
    <cfRule type="containsText" dxfId="1" priority="2" operator="containsText" text="Call SCC">
      <formula>NOT(ISERROR(SEARCH("Call SCC",K1)))</formula>
    </cfRule>
  </conditionalFormatting>
  <conditionalFormatting sqref="K1:K8">
    <cfRule type="containsText" dxfId="0" priority="1" operator="containsText" text="Call SCC">
      <formula>NOT(ISERROR(SEARCH("Call SCC",K1)))</formula>
    </cfRule>
  </conditionalFormatting>
  <dataValidations xWindow="437" yWindow="301" count="16">
    <dataValidation allowBlank="1" showInputMessage="1" showErrorMessage="1" prompt="Please enter the operation name" sqref="F1:G1"/>
    <dataValidation allowBlank="1" showInputMessage="1" showErrorMessage="1" prompt="Please enter the  name of the plan writer" sqref="F2:G2"/>
    <dataValidation type="list" allowBlank="1" showInputMessage="1" showErrorMessage="1" prompt="Please enter the type of operation (swine, duck, layers, veal, pullets, cattle, broilers, turkeys, horses, or  other)" sqref="F3:G6">
      <formula1>$N$41:$N$51</formula1>
    </dataValidation>
    <dataValidation allowBlank="1" showErrorMessage="1" prompt="Please note:  The Evaluation distance and the Part A &quot;Facility Size Covered by OMP&quot; scores are based on  &quot;AEUs covered by OMP&quot;" sqref="E7"/>
    <dataValidation allowBlank="1" showErrorMessage="1" prompt="Please enter the type of operation (swine, duck, layers, veal, pullets, cattle, broilers, turkeys, horses, or  other)" sqref="E4:E6"/>
    <dataValidation allowBlank="1" showErrorMessage="1" prompt="Please enter the operation name" sqref="E1"/>
    <dataValidation allowBlank="1" showErrorMessage="1" prompt="Please enter the  name of the plan writer" sqref="E2"/>
    <dataValidation type="list" allowBlank="1" showInputMessage="1" showErrorMessage="1" sqref="E18">
      <formula1>Preserved</formula1>
    </dataValidation>
    <dataValidation type="list" allowBlank="1" showInputMessage="1" showErrorMessage="1" sqref="E22">
      <formula1>PropertyLine</formula1>
    </dataValidation>
    <dataValidation type="list" allowBlank="1" showInputMessage="1" showErrorMessage="1" sqref="E21">
      <formula1>OtherLivestockOps</formula1>
    </dataValidation>
    <dataValidation type="list" allowBlank="1" showInputMessage="1" showErrorMessage="1" sqref="E12">
      <formula1>LivestockHistory</formula1>
    </dataValidation>
    <dataValidation type="list" allowBlank="1" showErrorMessage="1" prompt="Please enter the type of operation (swine, duck, layers, veal, pullets, cattle, broilers, turkeys, horses, or  other)" sqref="E3">
      <formula1>SpeciesType</formula1>
    </dataValidation>
    <dataValidation type="list" allowBlank="1" showInputMessage="1" showErrorMessage="1" sqref="E13">
      <formula1>StorageType</formula1>
    </dataValidation>
    <dataValidation type="list" allowBlank="1" showInputMessage="1" showErrorMessage="1" sqref="E23">
      <formula1>NeighborPreserved</formula1>
    </dataValidation>
    <dataValidation type="list" allowBlank="1" showInputMessage="1" showErrorMessage="1" sqref="E17">
      <formula1>AgZoning</formula1>
    </dataValidation>
    <dataValidation type="list" allowBlank="1" showInputMessage="1" showErrorMessage="1" sqref="E16">
      <formula1>ASA</formula1>
    </dataValidation>
  </dataValidations>
  <printOptions gridLines="1"/>
  <pageMargins left="0.25" right="0.25" top="0.42708333333333298" bottom="0.15625" header="0.1" footer="0.1"/>
  <pageSetup orientation="landscape" r:id="rId1"/>
  <headerFooter>
    <oddHeader>&amp;CAct 38 Odor Managment Plan - Odor Site Index</oddHeader>
    <oddFooter>&amp;COSI Version 2.0.1    January 29, 2014</oddFooter>
  </headerFooter>
  <drawing r:id="rId2"/>
  <legacyDrawing r:id="rId3"/>
  <controls>
    <mc:AlternateContent xmlns:mc="http://schemas.openxmlformats.org/markup-compatibility/2006">
      <mc:Choice Requires="x14">
        <control shapeId="1045" r:id="rId4" name="cmdReturn">
          <controlPr defaultSize="0" print="0" autoLine="0" autoPict="0" r:id="rId5">
            <anchor moveWithCells="1">
              <from>
                <xdr:col>10</xdr:col>
                <xdr:colOff>104775</xdr:colOff>
                <xdr:row>1</xdr:row>
                <xdr:rowOff>0</xdr:rowOff>
              </from>
              <to>
                <xdr:col>11</xdr:col>
                <xdr:colOff>9525</xdr:colOff>
                <xdr:row>6</xdr:row>
                <xdr:rowOff>57150</xdr:rowOff>
              </to>
            </anchor>
          </controlPr>
        </control>
      </mc:Choice>
      <mc:Fallback>
        <control shapeId="1045" r:id="rId4" name="cmdReturn"/>
      </mc:Fallback>
    </mc:AlternateContent>
    <mc:AlternateContent xmlns:mc="http://schemas.openxmlformats.org/markup-compatibility/2006">
      <mc:Choice Requires="x14">
        <control shapeId="1038" r:id="rId6" name="imgGeneralInfo">
          <controlPr defaultSize="0" print="0" autoLine="0" autoPict="0" r:id="rId7">
            <anchor moveWithCells="1">
              <from>
                <xdr:col>2</xdr:col>
                <xdr:colOff>1171575</xdr:colOff>
                <xdr:row>0</xdr:row>
                <xdr:rowOff>9525</xdr:rowOff>
              </from>
              <to>
                <xdr:col>3</xdr:col>
                <xdr:colOff>0</xdr:colOff>
                <xdr:row>0</xdr:row>
                <xdr:rowOff>180975</xdr:rowOff>
              </to>
            </anchor>
          </controlPr>
        </control>
      </mc:Choice>
      <mc:Fallback>
        <control shapeId="1038" r:id="rId6" name="imgGeneralInfo"/>
      </mc:Fallback>
    </mc:AlternateContent>
    <mc:AlternateContent xmlns:mc="http://schemas.openxmlformats.org/markup-compatibility/2006">
      <mc:Choice Requires="x14">
        <control shapeId="1039" r:id="rId8" name="imgPartB">
          <controlPr defaultSize="0" print="0" autoLine="0" r:id="rId9">
            <anchor moveWithCells="1">
              <from>
                <xdr:col>2</xdr:col>
                <xdr:colOff>1143000</xdr:colOff>
                <xdr:row>14</xdr:row>
                <xdr:rowOff>57150</xdr:rowOff>
              </from>
              <to>
                <xdr:col>2</xdr:col>
                <xdr:colOff>1276350</xdr:colOff>
                <xdr:row>15</xdr:row>
                <xdr:rowOff>19050</xdr:rowOff>
              </to>
            </anchor>
          </controlPr>
        </control>
      </mc:Choice>
      <mc:Fallback>
        <control shapeId="1039" r:id="rId8" name="imgPartB"/>
      </mc:Fallback>
    </mc:AlternateContent>
    <mc:AlternateContent xmlns:mc="http://schemas.openxmlformats.org/markup-compatibility/2006">
      <mc:Choice Requires="x14">
        <control shapeId="1040" r:id="rId10" name="imgPartC">
          <controlPr defaultSize="0" print="0" autoLine="0" r:id="rId11">
            <anchor moveWithCells="1">
              <from>
                <xdr:col>2</xdr:col>
                <xdr:colOff>1143000</xdr:colOff>
                <xdr:row>19</xdr:row>
                <xdr:rowOff>66675</xdr:rowOff>
              </from>
              <to>
                <xdr:col>2</xdr:col>
                <xdr:colOff>1276350</xdr:colOff>
                <xdr:row>20</xdr:row>
                <xdr:rowOff>38100</xdr:rowOff>
              </to>
            </anchor>
          </controlPr>
        </control>
      </mc:Choice>
      <mc:Fallback>
        <control shapeId="1040" r:id="rId10" name="imgPartC"/>
      </mc:Fallback>
    </mc:AlternateContent>
    <mc:AlternateContent xmlns:mc="http://schemas.openxmlformats.org/markup-compatibility/2006">
      <mc:Choice Requires="x14">
        <control shapeId="1042" r:id="rId12" name="imgPartA">
          <controlPr defaultSize="0" print="0" autoLine="0" autoPict="0" r:id="rId13">
            <anchor moveWithCells="1">
              <from>
                <xdr:col>2</xdr:col>
                <xdr:colOff>1114425</xdr:colOff>
                <xdr:row>9</xdr:row>
                <xdr:rowOff>76200</xdr:rowOff>
              </from>
              <to>
                <xdr:col>3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1042" r:id="rId12" name="imgPartA"/>
      </mc:Fallback>
    </mc:AlternateContent>
    <mc:AlternateContent xmlns:mc="http://schemas.openxmlformats.org/markup-compatibility/2006">
      <mc:Choice Requires="x14">
        <control shapeId="1035" r:id="rId14" name="Button 11">
          <controlPr defaultSize="0" print="0" autoFill="0" autoPict="0" macro="[0]!reset_osi">
            <anchor moveWithCells="1" sizeWithCells="1">
              <from>
                <xdr:col>0</xdr:col>
                <xdr:colOff>95250</xdr:colOff>
                <xdr:row>30</xdr:row>
                <xdr:rowOff>161925</xdr:rowOff>
              </from>
              <to>
                <xdr:col>0</xdr:col>
                <xdr:colOff>1009650</xdr:colOff>
                <xdr:row>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5" name="Button 20">
          <controlPr defaultSize="0" print="0" autoFill="0" autoPict="0" macro="[0]!PrintOSI">
            <anchor moveWithCells="1" sizeWithCells="1">
              <from>
                <xdr:col>1</xdr:col>
                <xdr:colOff>142875</xdr:colOff>
                <xdr:row>30</xdr:row>
                <xdr:rowOff>161925</xdr:rowOff>
              </from>
              <to>
                <xdr:col>2</xdr:col>
                <xdr:colOff>238125</xdr:colOff>
                <xdr:row>35</xdr:row>
                <xdr:rowOff>38100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XY233"/>
  <sheetViews>
    <sheetView showGridLines="0" view="pageLayout" zoomScaleNormal="160" workbookViewId="0">
      <selection activeCell="E3" sqref="E3"/>
    </sheetView>
  </sheetViews>
  <sheetFormatPr defaultColWidth="9.140625" defaultRowHeight="15" x14ac:dyDescent="0.25"/>
  <cols>
    <col min="1" max="1" width="19.5703125" style="1" bestFit="1" customWidth="1"/>
    <col min="2" max="2" width="11.5703125" style="1" bestFit="1" customWidth="1"/>
    <col min="3" max="3" width="14" style="1" bestFit="1" customWidth="1"/>
    <col min="4" max="4" width="14.85546875" style="1" bestFit="1" customWidth="1"/>
    <col min="5" max="5" width="14.5703125" style="1" bestFit="1" customWidth="1"/>
    <col min="6" max="6" width="14.85546875" style="9" bestFit="1" customWidth="1"/>
    <col min="7" max="7" width="10" style="1" customWidth="1"/>
    <col min="8" max="8" width="5.85546875" style="1" customWidth="1"/>
    <col min="9" max="9" width="3.7109375" style="1" customWidth="1"/>
    <col min="10" max="10" width="5.140625" style="1" customWidth="1"/>
    <col min="11" max="11" width="15.85546875" style="1" customWidth="1"/>
    <col min="12" max="12" width="9.140625" style="1" customWidth="1"/>
    <col min="13" max="13" width="6.5703125" style="1" customWidth="1"/>
    <col min="14" max="43" width="9.140625" style="1" customWidth="1"/>
    <col min="44" max="16384" width="9.140625" style="1"/>
  </cols>
  <sheetData>
    <row r="1" spans="1:13" ht="23.25" customHeight="1" x14ac:dyDescent="0.25">
      <c r="A1" s="22"/>
      <c r="B1" s="20"/>
      <c r="C1" s="23"/>
      <c r="D1" s="24"/>
      <c r="E1" s="19"/>
      <c r="F1" s="19"/>
      <c r="G1" s="18"/>
    </row>
    <row r="2" spans="1:13" ht="19.5" thickBot="1" x14ac:dyDescent="0.35">
      <c r="A2" s="50" t="s">
        <v>18</v>
      </c>
      <c r="B2" s="51" t="s">
        <v>83</v>
      </c>
      <c r="C2" s="51" t="s">
        <v>84</v>
      </c>
      <c r="D2" s="51" t="s">
        <v>85</v>
      </c>
      <c r="E2" s="51" t="s">
        <v>86</v>
      </c>
      <c r="F2" s="58" t="s">
        <v>87</v>
      </c>
      <c r="G2" s="71"/>
      <c r="H2" s="72"/>
    </row>
    <row r="3" spans="1:13" ht="13.5" customHeight="1" thickBot="1" x14ac:dyDescent="0.3">
      <c r="A3" s="62" t="s">
        <v>138</v>
      </c>
      <c r="B3" s="28"/>
      <c r="C3" s="28"/>
      <c r="D3" s="28"/>
      <c r="E3" s="117" t="s">
        <v>32</v>
      </c>
      <c r="F3" s="118" t="s">
        <v>32</v>
      </c>
      <c r="G3" s="60"/>
      <c r="H3" s="61"/>
    </row>
    <row r="4" spans="1:13" ht="13.5" customHeight="1" thickBot="1" x14ac:dyDescent="0.3">
      <c r="A4" s="62" t="s">
        <v>139</v>
      </c>
      <c r="B4" s="72">
        <f>VLOOKUP(B2,'neighb_look up tables'!$B$25:$C$36,2,FALSE)</f>
        <v>15</v>
      </c>
      <c r="C4" s="72">
        <f>VLOOKUP(C2,'neighb_look up tables'!$B$25:$C$36,2,FALSE)</f>
        <v>7</v>
      </c>
      <c r="D4" s="72">
        <f>VLOOKUP(D2,'neighb_look up tables'!$B$25:$C$36,2,FALSE)</f>
        <v>3</v>
      </c>
      <c r="E4" s="72">
        <f>VLOOKUP(E3,'neighb_look up tables'!$A$17:$I$22,2,FALSE)</f>
        <v>0</v>
      </c>
      <c r="F4" s="72">
        <f>VLOOKUP(F3,'neighb_look up tables'!$A$17:$I$22,3,FALSE)</f>
        <v>0</v>
      </c>
      <c r="G4" s="60"/>
      <c r="H4" s="61"/>
    </row>
    <row r="5" spans="1:13" ht="13.5" hidden="1" customHeight="1" thickBot="1" x14ac:dyDescent="0.3">
      <c r="A5" s="62" t="s">
        <v>95</v>
      </c>
      <c r="B5" s="67">
        <f>B3*B4</f>
        <v>0</v>
      </c>
      <c r="C5" s="67">
        <f>C3*C4</f>
        <v>0</v>
      </c>
      <c r="D5" s="67">
        <f>D3*D4</f>
        <v>0</v>
      </c>
      <c r="E5" s="68">
        <f>E4</f>
        <v>0</v>
      </c>
      <c r="F5" s="69">
        <f>F4</f>
        <v>0</v>
      </c>
      <c r="G5" s="60"/>
      <c r="H5" s="61"/>
    </row>
    <row r="6" spans="1:13" ht="13.5" customHeight="1" thickBot="1" x14ac:dyDescent="0.3">
      <c r="A6" s="62" t="s">
        <v>140</v>
      </c>
      <c r="B6" s="28" t="s">
        <v>32</v>
      </c>
      <c r="C6" s="42" t="s">
        <v>32</v>
      </c>
      <c r="D6" s="42" t="s">
        <v>32</v>
      </c>
      <c r="E6" s="42" t="s">
        <v>32</v>
      </c>
      <c r="F6" s="26" t="s">
        <v>32</v>
      </c>
      <c r="G6" s="71" t="s">
        <v>113</v>
      </c>
      <c r="H6" s="79">
        <f>H8</f>
        <v>0</v>
      </c>
    </row>
    <row r="7" spans="1:13" ht="13.5" hidden="1" customHeight="1" thickBot="1" x14ac:dyDescent="0.3">
      <c r="A7" s="62" t="s">
        <v>21</v>
      </c>
      <c r="B7" s="67">
        <f>VLOOKUP(B6,'neighb_look up tables'!A39:B54,2,FALSE)</f>
        <v>0</v>
      </c>
      <c r="C7" s="67">
        <f>VLOOKUP(C6,'neighb_look up tables'!A39:B54,2,FALSE)</f>
        <v>0</v>
      </c>
      <c r="D7" s="67">
        <f>VLOOKUP(D6,'neighb_look up tables'!A39:B54,2,FALSE)</f>
        <v>0</v>
      </c>
      <c r="E7" s="67">
        <f>VLOOKUP(E6,'neighb_look up tables'!A39:B54,2,FALSE)</f>
        <v>0</v>
      </c>
      <c r="F7" s="67">
        <f>VLOOKUP(F6,'neighb_look up tables'!A39:B54,2,FALSE)</f>
        <v>0</v>
      </c>
      <c r="G7" s="60"/>
      <c r="H7" s="65"/>
    </row>
    <row r="8" spans="1:13" ht="13.5" hidden="1" customHeight="1" thickBot="1" x14ac:dyDescent="0.3">
      <c r="A8" s="62" t="s">
        <v>19</v>
      </c>
      <c r="B8" s="67">
        <f>B5*B7</f>
        <v>0</v>
      </c>
      <c r="C8" s="67">
        <f>C5*C7</f>
        <v>0</v>
      </c>
      <c r="D8" s="67">
        <f>D5*D7</f>
        <v>0</v>
      </c>
      <c r="E8" s="67">
        <f>E5*E7</f>
        <v>0</v>
      </c>
      <c r="F8" s="67">
        <f>F5*F7</f>
        <v>0</v>
      </c>
      <c r="G8" s="71" t="s">
        <v>34</v>
      </c>
      <c r="H8" s="65">
        <f>SUM(B8:F8)</f>
        <v>0</v>
      </c>
    </row>
    <row r="9" spans="1:13" ht="13.5" customHeight="1" thickBot="1" x14ac:dyDescent="0.3">
      <c r="A9" s="62" t="s">
        <v>141</v>
      </c>
      <c r="B9" s="28"/>
      <c r="C9" s="28"/>
      <c r="D9" s="28"/>
      <c r="E9" s="28"/>
      <c r="F9" s="28"/>
      <c r="G9" s="60" t="s">
        <v>35</v>
      </c>
      <c r="H9" s="65">
        <f>SUM(B13:F13)</f>
        <v>0</v>
      </c>
    </row>
    <row r="10" spans="1:13" ht="13.5" customHeight="1" thickBot="1" x14ac:dyDescent="0.3">
      <c r="A10" s="62" t="s">
        <v>144</v>
      </c>
      <c r="B10" s="72">
        <f>VLOOKUP(B2,'neighb_look up tables'!$A$82:$E$86,2,FALSE)</f>
        <v>40</v>
      </c>
      <c r="C10" s="72">
        <f>VLOOKUP(C2,'neighb_look up tables'!$A$82:$E$86,2,FALSE)</f>
        <v>20</v>
      </c>
      <c r="D10" s="72">
        <f>VLOOKUP(D2,'neighb_look up tables'!$A$82:$E$86,2,FALSE)</f>
        <v>10</v>
      </c>
      <c r="E10" s="72">
        <f>VLOOKUP(E2,'neighb_look up tables'!$A$82:$E$86,2,FALSE)</f>
        <v>5</v>
      </c>
      <c r="F10" s="72">
        <f>VLOOKUP(F2,'neighb_look up tables'!$A$82:$E$86,2,FALSE)</f>
        <v>3</v>
      </c>
      <c r="G10" s="60"/>
      <c r="H10" s="65"/>
    </row>
    <row r="11" spans="1:13" ht="13.5" customHeight="1" x14ac:dyDescent="0.25">
      <c r="A11" s="62" t="s">
        <v>142</v>
      </c>
      <c r="B11" s="28" t="s">
        <v>32</v>
      </c>
      <c r="C11" s="42" t="s">
        <v>32</v>
      </c>
      <c r="D11" s="42" t="s">
        <v>32</v>
      </c>
      <c r="E11" s="117" t="s">
        <v>32</v>
      </c>
      <c r="F11" s="26" t="s">
        <v>32</v>
      </c>
      <c r="G11" s="75" t="s">
        <v>52</v>
      </c>
      <c r="H11" s="78">
        <f>H8+H9</f>
        <v>0</v>
      </c>
    </row>
    <row r="12" spans="1:13" ht="13.5" hidden="1" customHeight="1" thickBot="1" x14ac:dyDescent="0.3">
      <c r="A12" s="62" t="s">
        <v>22</v>
      </c>
      <c r="B12" s="67">
        <f>VLOOKUP(B11,'neighb_look up tables'!$A$39:$B$54,2,FALSE)</f>
        <v>0</v>
      </c>
      <c r="C12" s="68">
        <f>VLOOKUP(C11,'neighb_look up tables'!$A$39:$B$54,2,FALSE)</f>
        <v>0</v>
      </c>
      <c r="D12" s="68">
        <f>VLOOKUP(D11,'neighb_look up tables'!$A$39:$B$54,2,FALSE)</f>
        <v>0</v>
      </c>
      <c r="E12" s="68">
        <f>VLOOKUP(E11,'neighb_look up tables'!$A$39:$B$54,2,FALSE)</f>
        <v>0</v>
      </c>
      <c r="F12" s="69">
        <f>VLOOKUP(F11,'neighb_look up tables'!$A$39:$B$54,2,FALSE)</f>
        <v>0</v>
      </c>
      <c r="G12" s="60"/>
      <c r="H12" s="65"/>
    </row>
    <row r="13" spans="1:13" ht="13.5" hidden="1" customHeight="1" x14ac:dyDescent="0.25">
      <c r="A13" s="62" t="s">
        <v>20</v>
      </c>
      <c r="B13" s="67">
        <f>B9*B10*B12</f>
        <v>0</v>
      </c>
      <c r="C13" s="67">
        <f>C9*C10*C12</f>
        <v>0</v>
      </c>
      <c r="D13" s="67">
        <f>D9*D10*D12</f>
        <v>0</v>
      </c>
      <c r="E13" s="67">
        <f>E9*E10*E12</f>
        <v>0</v>
      </c>
      <c r="F13" s="67">
        <f>F9*F10*F12</f>
        <v>0</v>
      </c>
      <c r="G13" s="60"/>
      <c r="H13" s="65"/>
    </row>
    <row r="14" spans="1:13" hidden="1" x14ac:dyDescent="0.25">
      <c r="A14" s="64"/>
      <c r="B14" s="63"/>
      <c r="C14" s="63">
        <f>C8+C13</f>
        <v>0</v>
      </c>
      <c r="D14" s="63">
        <f>D8+D13</f>
        <v>0</v>
      </c>
      <c r="E14" s="63">
        <f>E8+E13</f>
        <v>0</v>
      </c>
      <c r="F14" s="63">
        <f>F8+F13</f>
        <v>0</v>
      </c>
      <c r="G14" s="14"/>
      <c r="H14" s="65"/>
      <c r="I14" s="9"/>
      <c r="J14" s="9"/>
      <c r="K14" s="10"/>
      <c r="L14" s="9"/>
      <c r="M14" s="9"/>
    </row>
    <row r="15" spans="1:13" hidden="1" x14ac:dyDescent="0.25">
      <c r="G15" s="14"/>
      <c r="H15" s="65"/>
      <c r="I15" s="9"/>
      <c r="J15" s="9"/>
      <c r="K15" s="11"/>
      <c r="L15" s="9"/>
      <c r="M15" s="9"/>
    </row>
    <row r="16" spans="1:13" hidden="1" x14ac:dyDescent="0.25">
      <c r="E16" s="1" t="s">
        <v>33</v>
      </c>
      <c r="F16" s="9" t="s">
        <v>33</v>
      </c>
      <c r="G16" s="14"/>
      <c r="H16" s="65"/>
      <c r="I16" s="9"/>
      <c r="J16" s="9"/>
      <c r="K16" s="9"/>
      <c r="L16" s="9"/>
      <c r="M16" s="9"/>
    </row>
    <row r="17" spans="1:13" ht="16.5" hidden="1" customHeight="1" x14ac:dyDescent="0.25">
      <c r="A17" s="44"/>
      <c r="B17" s="44" t="s">
        <v>33</v>
      </c>
      <c r="C17" s="44" t="s">
        <v>33</v>
      </c>
      <c r="D17" s="44" t="s">
        <v>33</v>
      </c>
      <c r="E17" s="44" t="s">
        <v>33</v>
      </c>
      <c r="F17" s="59" t="s">
        <v>33</v>
      </c>
      <c r="G17" s="60"/>
      <c r="H17" s="65"/>
      <c r="I17" s="9"/>
      <c r="J17" s="9"/>
      <c r="K17" s="9"/>
      <c r="L17" s="9"/>
      <c r="M17" s="9"/>
    </row>
    <row r="18" spans="1:13" ht="19.5" thickBot="1" x14ac:dyDescent="0.35">
      <c r="A18" s="125" t="s">
        <v>28</v>
      </c>
      <c r="B18" s="126" t="s">
        <v>83</v>
      </c>
      <c r="C18" s="51" t="s">
        <v>84</v>
      </c>
      <c r="D18" s="51" t="s">
        <v>85</v>
      </c>
      <c r="E18" s="51" t="s">
        <v>86</v>
      </c>
      <c r="F18" s="58" t="s">
        <v>87</v>
      </c>
      <c r="G18" s="60"/>
      <c r="H18" s="65"/>
      <c r="L18" s="9"/>
      <c r="M18" s="9"/>
    </row>
    <row r="19" spans="1:13" ht="13.5" customHeight="1" thickBot="1" x14ac:dyDescent="0.3">
      <c r="A19" s="62" t="s">
        <v>138</v>
      </c>
      <c r="B19" s="124"/>
      <c r="C19" s="42"/>
      <c r="D19" s="42"/>
      <c r="E19" s="117" t="s">
        <v>33</v>
      </c>
      <c r="F19" s="118" t="s">
        <v>33</v>
      </c>
      <c r="G19" s="60"/>
      <c r="H19" s="65"/>
    </row>
    <row r="20" spans="1:13" s="132" customFormat="1" ht="13.5" customHeight="1" thickBot="1" x14ac:dyDescent="0.3">
      <c r="A20" s="62" t="s">
        <v>139</v>
      </c>
      <c r="B20" s="130">
        <f>VLOOKUP(B2,'neighb_look up tables'!$B$28:$C$30,2,FALSE)</f>
        <v>10</v>
      </c>
      <c r="C20" s="130">
        <f>VLOOKUP(C2,'neighb_look up tables'!$B$28:$C$30,2,FALSE)</f>
        <v>5</v>
      </c>
      <c r="D20" s="130">
        <f>VLOOKUP(D2,'neighb_look up tables'!$B$28:$C$30,2,FALSE)</f>
        <v>2</v>
      </c>
      <c r="E20" s="131">
        <f>VLOOKUP(E19,'neighb_look up tables'!$A$17:$I$22,4,FALSE)</f>
        <v>0</v>
      </c>
      <c r="F20" s="131">
        <f>VLOOKUP(F19,'neighb_look up tables'!$A$17:$I$22,5,FALSE)</f>
        <v>0</v>
      </c>
      <c r="G20" s="60"/>
      <c r="H20" s="65"/>
    </row>
    <row r="21" spans="1:13" ht="13.5" hidden="1" customHeight="1" thickBot="1" x14ac:dyDescent="0.3">
      <c r="A21" s="62" t="s">
        <v>143</v>
      </c>
      <c r="B21" s="71">
        <f>B19*B20</f>
        <v>0</v>
      </c>
      <c r="C21" s="71">
        <f>C19*C20</f>
        <v>0</v>
      </c>
      <c r="D21" s="71">
        <f>D19*D20</f>
        <v>0</v>
      </c>
      <c r="E21" s="71">
        <f>E20</f>
        <v>0</v>
      </c>
      <c r="F21" s="71">
        <f>F20</f>
        <v>0</v>
      </c>
      <c r="G21" s="60"/>
      <c r="H21" s="65"/>
    </row>
    <row r="22" spans="1:13" ht="13.5" customHeight="1" thickBot="1" x14ac:dyDescent="0.35">
      <c r="A22" s="62" t="s">
        <v>140</v>
      </c>
      <c r="B22" s="28" t="s">
        <v>32</v>
      </c>
      <c r="C22" s="42" t="s">
        <v>107</v>
      </c>
      <c r="D22" s="42" t="s">
        <v>32</v>
      </c>
      <c r="E22" s="42" t="s">
        <v>32</v>
      </c>
      <c r="F22" s="26" t="s">
        <v>32</v>
      </c>
      <c r="G22" s="71" t="s">
        <v>113</v>
      </c>
      <c r="H22" s="79">
        <f>H24</f>
        <v>0</v>
      </c>
    </row>
    <row r="23" spans="1:13" ht="13.5" hidden="1" customHeight="1" thickBot="1" x14ac:dyDescent="0.3">
      <c r="A23" s="62" t="s">
        <v>147</v>
      </c>
      <c r="B23" s="67">
        <f>VLOOKUP(B22,'neighb_look up tables'!$A$39:$B$54,2,FALSE)</f>
        <v>0</v>
      </c>
      <c r="C23" s="68">
        <f>VLOOKUP(C22,'neighb_look up tables'!$A$39:$B$54,2,FALSE)</f>
        <v>0</v>
      </c>
      <c r="D23" s="68">
        <f>VLOOKUP(D22,'neighb_look up tables'!$A$39:$B$54,2,FALSE)</f>
        <v>0</v>
      </c>
      <c r="E23" s="68">
        <f>VLOOKUP(E22,'neighb_look up tables'!$A$39:$B$54,2,FALSE)</f>
        <v>0</v>
      </c>
      <c r="F23" s="69">
        <f>VLOOKUP(F22,'neighb_look up tables'!$A$39:$B$54,2,FALSE)</f>
        <v>0</v>
      </c>
      <c r="G23" s="60"/>
      <c r="H23" s="65"/>
    </row>
    <row r="24" spans="1:13" ht="13.5" hidden="1" customHeight="1" thickBot="1" x14ac:dyDescent="0.3">
      <c r="A24" s="62" t="s">
        <v>146</v>
      </c>
      <c r="B24" s="67">
        <f>B21*B23</f>
        <v>0</v>
      </c>
      <c r="C24" s="67">
        <f>C21*C23</f>
        <v>0</v>
      </c>
      <c r="D24" s="67">
        <f>D21*D23</f>
        <v>0</v>
      </c>
      <c r="E24" s="67">
        <f>E21*E23</f>
        <v>0</v>
      </c>
      <c r="F24" s="67">
        <f>F21*F23</f>
        <v>0</v>
      </c>
      <c r="G24" s="71" t="s">
        <v>34</v>
      </c>
      <c r="H24" s="65">
        <f>SUM(B24:F24)</f>
        <v>0</v>
      </c>
    </row>
    <row r="25" spans="1:13" ht="13.5" customHeight="1" thickBot="1" x14ac:dyDescent="0.35">
      <c r="A25" s="62" t="s">
        <v>141</v>
      </c>
      <c r="B25" s="28"/>
      <c r="C25" s="28"/>
      <c r="D25" s="28"/>
      <c r="E25" s="28"/>
      <c r="F25" s="28"/>
      <c r="G25" s="60" t="s">
        <v>35</v>
      </c>
      <c r="H25" s="65">
        <f>SUM(B29:F29)</f>
        <v>0</v>
      </c>
    </row>
    <row r="26" spans="1:13" ht="13.5" customHeight="1" thickBot="1" x14ac:dyDescent="0.35">
      <c r="A26" s="62" t="s">
        <v>144</v>
      </c>
      <c r="B26" s="72">
        <f>VLOOKUP(B2,'neighb_look up tables'!$A$82:$E$86,3,FALSE)</f>
        <v>30</v>
      </c>
      <c r="C26" s="72">
        <f>VLOOKUP(C2,'neighb_look up tables'!$A$82:$E$86,3,FALSE)</f>
        <v>15</v>
      </c>
      <c r="D26" s="72">
        <f>VLOOKUP(D2,'neighb_look up tables'!$A$82:$E$86,3,FALSE)</f>
        <v>7</v>
      </c>
      <c r="E26" s="72">
        <f>VLOOKUP(E2,'neighb_look up tables'!$A$82:$E$86,3,FALSE)</f>
        <v>4</v>
      </c>
      <c r="F26" s="72">
        <f>VLOOKUP(F2,'neighb_look up tables'!$A$82:$E$86,3,FALSE)</f>
        <v>2</v>
      </c>
      <c r="G26" s="60"/>
      <c r="H26" s="65"/>
    </row>
    <row r="27" spans="1:13" ht="13.5" customHeight="1" x14ac:dyDescent="0.3">
      <c r="A27" s="62" t="s">
        <v>142</v>
      </c>
      <c r="B27" s="28" t="s">
        <v>32</v>
      </c>
      <c r="C27" s="42" t="s">
        <v>32</v>
      </c>
      <c r="D27" s="42" t="s">
        <v>32</v>
      </c>
      <c r="E27" s="42" t="s">
        <v>32</v>
      </c>
      <c r="F27" s="26" t="s">
        <v>32</v>
      </c>
      <c r="G27" s="75" t="s">
        <v>53</v>
      </c>
      <c r="H27" s="78">
        <f>H24+H25</f>
        <v>0</v>
      </c>
    </row>
    <row r="28" spans="1:13" ht="13.5" hidden="1" customHeight="1" thickBot="1" x14ac:dyDescent="0.3">
      <c r="A28" s="62" t="s">
        <v>22</v>
      </c>
      <c r="B28" s="28">
        <f>VLOOKUP(B27,'neighb_look up tables'!$A$39:$B$54,2,FALSE)</f>
        <v>0</v>
      </c>
      <c r="C28" s="42">
        <f>VLOOKUP(C27,'neighb_look up tables'!$A$39:$B$54,2,FALSE)</f>
        <v>0</v>
      </c>
      <c r="D28" s="42">
        <f>VLOOKUP(D27,'neighb_look up tables'!$A$39:$B$54,2,FALSE)</f>
        <v>0</v>
      </c>
      <c r="E28" s="42">
        <f>VLOOKUP(E27,'neighb_look up tables'!$A$39:$B$54,2,FALSE)</f>
        <v>0</v>
      </c>
      <c r="F28" s="26">
        <f>VLOOKUP(F27,'neighb_look up tables'!$A$39:$B$54,2,FALSE)</f>
        <v>0</v>
      </c>
      <c r="G28" s="60"/>
      <c r="H28" s="65"/>
    </row>
    <row r="29" spans="1:13" ht="13.5" hidden="1" customHeight="1" x14ac:dyDescent="0.25">
      <c r="A29" s="62" t="s">
        <v>20</v>
      </c>
      <c r="B29" s="67">
        <f>B25*B26*B28</f>
        <v>0</v>
      </c>
      <c r="C29" s="67">
        <f>C25*C26*C28</f>
        <v>0</v>
      </c>
      <c r="D29" s="67">
        <f>D25*D26*D28</f>
        <v>0</v>
      </c>
      <c r="E29" s="67">
        <f>E25*E26*E28</f>
        <v>0</v>
      </c>
      <c r="F29" s="67">
        <f>F25*F26*F28</f>
        <v>0</v>
      </c>
      <c r="G29" s="60"/>
      <c r="H29" s="65"/>
    </row>
    <row r="30" spans="1:13" ht="15.75" hidden="1" thickBot="1" x14ac:dyDescent="0.3">
      <c r="A30" s="62" t="s">
        <v>51</v>
      </c>
      <c r="B30" s="28"/>
      <c r="C30" s="42"/>
      <c r="D30" s="42"/>
      <c r="E30" s="42" t="s">
        <v>33</v>
      </c>
      <c r="F30" s="26" t="s">
        <v>33</v>
      </c>
      <c r="G30" s="60"/>
      <c r="H30" s="65"/>
      <c r="I30" s="9"/>
      <c r="J30" s="9"/>
      <c r="K30" s="10"/>
      <c r="L30" s="9"/>
      <c r="M30" s="9"/>
    </row>
    <row r="31" spans="1:13" ht="15.75" hidden="1" thickBot="1" x14ac:dyDescent="0.3">
      <c r="A31" s="62"/>
      <c r="B31" s="28" t="s">
        <v>33</v>
      </c>
      <c r="C31" s="42" t="s">
        <v>33</v>
      </c>
      <c r="D31" s="42" t="s">
        <v>33</v>
      </c>
      <c r="E31" s="42" t="s">
        <v>33</v>
      </c>
      <c r="F31" s="26" t="s">
        <v>33</v>
      </c>
      <c r="G31" s="60"/>
      <c r="H31" s="65"/>
      <c r="I31" s="9"/>
      <c r="J31" s="9"/>
      <c r="K31" s="10"/>
      <c r="L31" s="9"/>
      <c r="M31" s="9"/>
    </row>
    <row r="32" spans="1:13" ht="15.75" hidden="1" thickBot="1" x14ac:dyDescent="0.3">
      <c r="A32" s="62"/>
      <c r="B32" s="28"/>
      <c r="C32" s="28"/>
      <c r="D32" s="28"/>
      <c r="E32" s="42"/>
      <c r="F32" s="26"/>
      <c r="G32" s="60"/>
      <c r="H32" s="65"/>
      <c r="I32" s="12"/>
      <c r="J32" s="12"/>
      <c r="K32" s="13"/>
      <c r="L32" s="9"/>
      <c r="M32" s="9"/>
    </row>
    <row r="33" spans="1:2001" ht="15" hidden="1" customHeight="1" x14ac:dyDescent="0.25">
      <c r="A33" s="62"/>
      <c r="B33" s="28"/>
      <c r="C33" s="42"/>
      <c r="D33" s="42"/>
      <c r="E33" s="42"/>
      <c r="F33" s="26"/>
      <c r="G33" s="60"/>
      <c r="H33" s="65"/>
      <c r="I33" s="9"/>
      <c r="J33" s="9"/>
      <c r="K33" s="9"/>
      <c r="L33" s="9"/>
      <c r="M33" s="9"/>
    </row>
    <row r="34" spans="1:2001" hidden="1" x14ac:dyDescent="0.25">
      <c r="A34" s="44"/>
      <c r="B34" s="44"/>
      <c r="C34" s="44"/>
      <c r="D34" s="44"/>
      <c r="E34" s="44"/>
      <c r="F34" s="59"/>
      <c r="G34" s="60"/>
      <c r="H34" s="65"/>
      <c r="I34" s="9"/>
      <c r="J34" s="9"/>
      <c r="K34" s="9"/>
      <c r="L34" s="9"/>
      <c r="M34" s="9"/>
    </row>
    <row r="35" spans="1:2001" ht="18.600000000000001" thickBot="1" x14ac:dyDescent="0.4">
      <c r="A35" s="50" t="s">
        <v>29</v>
      </c>
      <c r="B35" s="51" t="s">
        <v>83</v>
      </c>
      <c r="C35" s="51" t="s">
        <v>84</v>
      </c>
      <c r="D35" s="51" t="s">
        <v>85</v>
      </c>
      <c r="E35" s="51" t="s">
        <v>86</v>
      </c>
      <c r="F35" s="58" t="s">
        <v>87</v>
      </c>
      <c r="G35" s="60"/>
      <c r="H35" s="65"/>
    </row>
    <row r="36" spans="1:2001" s="62" customFormat="1" thickBot="1" x14ac:dyDescent="0.35">
      <c r="A36" s="62" t="s">
        <v>138</v>
      </c>
      <c r="B36" s="28"/>
      <c r="C36" s="28"/>
      <c r="D36" s="28"/>
      <c r="E36" s="119" t="s">
        <v>33</v>
      </c>
      <c r="F36" s="119" t="s">
        <v>33</v>
      </c>
      <c r="G36" s="60"/>
      <c r="H36" s="6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</row>
    <row r="37" spans="1:2001" s="62" customFormat="1" thickBot="1" x14ac:dyDescent="0.35">
      <c r="A37" s="62" t="s">
        <v>139</v>
      </c>
      <c r="B37" s="72">
        <f>VLOOKUP(Npu!B2,'neighb_look up tables'!$B$31:$C$33,2,FALSE)</f>
        <v>6</v>
      </c>
      <c r="C37" s="72">
        <f>VLOOKUP(Npu!C2,'neighb_look up tables'!$B$31:$C$33,2,FALSE)</f>
        <v>3</v>
      </c>
      <c r="D37" s="72">
        <f>VLOOKUP(Npu!D2,'neighb_look up tables'!$B$31:$C$33,2,FALSE)</f>
        <v>0.5</v>
      </c>
      <c r="E37" s="72">
        <f>VLOOKUP(E36,'neighb_look up tables'!$A$17:$I$22,6,FALSE)</f>
        <v>0</v>
      </c>
      <c r="F37" s="72">
        <f>VLOOKUP(F36,'neighb_look up tables'!$A$17:$I$22,7,FALSE)</f>
        <v>0</v>
      </c>
      <c r="G37" s="70"/>
      <c r="H37" s="6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</row>
    <row r="38" spans="1:2001" s="62" customFormat="1" ht="15.75" hidden="1" thickBot="1" x14ac:dyDescent="0.3">
      <c r="A38" s="62" t="s">
        <v>95</v>
      </c>
      <c r="B38" s="67">
        <f>B36*B37</f>
        <v>0</v>
      </c>
      <c r="C38" s="67">
        <f>C36*C37</f>
        <v>0</v>
      </c>
      <c r="D38" s="67">
        <f>D36*D37</f>
        <v>0</v>
      </c>
      <c r="E38" s="67">
        <f>E37</f>
        <v>0</v>
      </c>
      <c r="F38" s="67">
        <f>F37</f>
        <v>0</v>
      </c>
      <c r="G38" s="70"/>
      <c r="H38" s="6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</row>
    <row r="39" spans="1:2001" s="62" customFormat="1" thickBot="1" x14ac:dyDescent="0.35">
      <c r="A39" s="62" t="s">
        <v>140</v>
      </c>
      <c r="B39" s="28" t="s">
        <v>32</v>
      </c>
      <c r="C39" s="28" t="s">
        <v>32</v>
      </c>
      <c r="D39" s="28" t="s">
        <v>32</v>
      </c>
      <c r="E39" s="28" t="s">
        <v>32</v>
      </c>
      <c r="F39" s="28" t="s">
        <v>32</v>
      </c>
      <c r="G39" s="71" t="s">
        <v>113</v>
      </c>
      <c r="H39" s="79">
        <f>H41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</row>
    <row r="40" spans="1:2001" s="62" customFormat="1" ht="15.75" hidden="1" thickBot="1" x14ac:dyDescent="0.3">
      <c r="A40" s="62" t="s">
        <v>21</v>
      </c>
      <c r="B40" s="67">
        <f>VLOOKUP(B39,'neighb_look up tables'!$A$39:$B$54,2,FALSE)</f>
        <v>0</v>
      </c>
      <c r="C40" s="67">
        <f>VLOOKUP(C39,'neighb_look up tables'!$A$39:$B$54,2,FALSE)</f>
        <v>0</v>
      </c>
      <c r="D40" s="67">
        <f>VLOOKUP(D39,'neighb_look up tables'!$A$39:$B$54,2,FALSE)</f>
        <v>0</v>
      </c>
      <c r="E40" s="67">
        <f>VLOOKUP(E39,'neighb_look up tables'!$A$39:$B$54,2,FALSE)</f>
        <v>0</v>
      </c>
      <c r="F40" s="67">
        <f>VLOOKUP(F39,'neighb_look up tables'!$A$39:$B$54,2,FALSE)</f>
        <v>0</v>
      </c>
      <c r="G40" s="60"/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</row>
    <row r="41" spans="1:2001" s="62" customFormat="1" ht="15" hidden="1" customHeight="1" thickBot="1" x14ac:dyDescent="0.3">
      <c r="A41" s="62" t="s">
        <v>19</v>
      </c>
      <c r="B41" s="67">
        <f>B38*B40</f>
        <v>0</v>
      </c>
      <c r="C41" s="67">
        <f>C38*C40</f>
        <v>0</v>
      </c>
      <c r="D41" s="67">
        <f>D38*D40</f>
        <v>0</v>
      </c>
      <c r="E41" s="67">
        <f>E38*E40</f>
        <v>0</v>
      </c>
      <c r="F41" s="67">
        <f>F38*F40</f>
        <v>0</v>
      </c>
      <c r="G41" s="71" t="s">
        <v>34</v>
      </c>
      <c r="H41" s="65">
        <f>SUM(B41:F41)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</row>
    <row r="42" spans="1:2001" s="62" customFormat="1" ht="18.600000000000001" thickBot="1" x14ac:dyDescent="0.4">
      <c r="A42" s="62" t="s">
        <v>141</v>
      </c>
      <c r="B42" s="28"/>
      <c r="C42" s="28"/>
      <c r="D42" s="28"/>
      <c r="E42" s="28"/>
      <c r="F42" s="28"/>
      <c r="G42" s="60" t="s">
        <v>35</v>
      </c>
      <c r="H42" s="65">
        <f>SUM(B46:F46)</f>
        <v>0</v>
      </c>
      <c r="I42" s="1"/>
      <c r="J42" s="84" t="s">
        <v>117</v>
      </c>
      <c r="K42" s="85">
        <f>OSI!K28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</row>
    <row r="43" spans="1:2001" s="62" customFormat="1" thickBot="1" x14ac:dyDescent="0.35">
      <c r="A43" s="62" t="s">
        <v>144</v>
      </c>
      <c r="B43" s="72">
        <f>VLOOKUP(B2,'neighb_look up tables'!$A$82:$E$86,4,FALSE)</f>
        <v>25</v>
      </c>
      <c r="C43" s="72">
        <f>VLOOKUP(C2,'neighb_look up tables'!$A$82:$E$86,4,FALSE)</f>
        <v>13</v>
      </c>
      <c r="D43" s="72">
        <f>VLOOKUP(D2,'neighb_look up tables'!$A$82:$E$86,4,FALSE)</f>
        <v>6</v>
      </c>
      <c r="E43" s="72">
        <f>VLOOKUP(E2,'neighb_look up tables'!$A$82:$E$86,4,FALSE)</f>
        <v>3</v>
      </c>
      <c r="F43" s="72">
        <f>VLOOKUP(F2,'neighb_look up tables'!$A$82:$E$86,5,FALSE)</f>
        <v>1</v>
      </c>
      <c r="G43" s="60"/>
      <c r="H43" s="6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</row>
    <row r="44" spans="1:2001" s="62" customFormat="1" ht="14.45" x14ac:dyDescent="0.3">
      <c r="A44" s="62" t="s">
        <v>142</v>
      </c>
      <c r="B44" s="28" t="s">
        <v>32</v>
      </c>
      <c r="C44" s="28" t="s">
        <v>32</v>
      </c>
      <c r="D44" s="28" t="s">
        <v>32</v>
      </c>
      <c r="E44" s="28" t="s">
        <v>32</v>
      </c>
      <c r="F44" s="28" t="s">
        <v>32</v>
      </c>
      <c r="G44" s="75" t="s">
        <v>55</v>
      </c>
      <c r="H44" s="78">
        <f>H41+H42</f>
        <v>0</v>
      </c>
      <c r="I44" s="1" t="s">
        <v>37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</row>
    <row r="45" spans="1:2001" s="62" customFormat="1" ht="15.75" hidden="1" thickBot="1" x14ac:dyDescent="0.3">
      <c r="A45" s="62" t="s">
        <v>22</v>
      </c>
      <c r="B45" s="67">
        <f>VLOOKUP(B44,'neighb_look up tables'!$A$39:$B$54,2,FALSE)</f>
        <v>0</v>
      </c>
      <c r="C45" s="67">
        <f>VLOOKUP(C44,'neighb_look up tables'!$A$39:$B$54,2,FALSE)</f>
        <v>0</v>
      </c>
      <c r="D45" s="67">
        <f>VLOOKUP(D44,'neighb_look up tables'!$A$39:$B$54,2,FALSE)</f>
        <v>0</v>
      </c>
      <c r="E45" s="67">
        <f>VLOOKUP(E44,'neighb_look up tables'!$A$39:$B$54,2,FALSE)</f>
        <v>0</v>
      </c>
      <c r="F45" s="67">
        <f>VLOOKUP(F44,'neighb_look up tables'!$A$39:$B$54,2,FALSE)</f>
        <v>0</v>
      </c>
      <c r="G45" s="70"/>
      <c r="H45" s="6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</row>
    <row r="46" spans="1:2001" s="62" customFormat="1" hidden="1" x14ac:dyDescent="0.25">
      <c r="A46" s="62" t="s">
        <v>20</v>
      </c>
      <c r="B46" s="67">
        <f>B42*25*B45</f>
        <v>0</v>
      </c>
      <c r="C46" s="67">
        <f>C42*13*C45</f>
        <v>0</v>
      </c>
      <c r="D46" s="67">
        <f>D42*6*D45</f>
        <v>0</v>
      </c>
      <c r="E46" s="67">
        <f>E42*3*E45</f>
        <v>0</v>
      </c>
      <c r="F46" s="67">
        <f>F42*1*F45</f>
        <v>0</v>
      </c>
      <c r="G46" s="70"/>
      <c r="H46" s="6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</row>
    <row r="47" spans="1:2001" s="62" customFormat="1" hidden="1" x14ac:dyDescent="0.25">
      <c r="A47" s="62" t="s">
        <v>51</v>
      </c>
      <c r="B47" s="28">
        <f>B41+B46</f>
        <v>0</v>
      </c>
      <c r="C47" s="28">
        <f>C41+C46</f>
        <v>0</v>
      </c>
      <c r="D47" s="28">
        <f>D41+D46</f>
        <v>0</v>
      </c>
      <c r="E47" s="28">
        <f>E41+E46</f>
        <v>0</v>
      </c>
      <c r="F47" s="28">
        <f>F41+F46</f>
        <v>0</v>
      </c>
      <c r="G47" s="70"/>
      <c r="H47" s="6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</row>
    <row r="48" spans="1:2001" hidden="1" x14ac:dyDescent="0.25">
      <c r="A48" s="62"/>
      <c r="B48" s="28"/>
      <c r="C48" s="42"/>
      <c r="D48" s="42"/>
      <c r="E48" s="42"/>
      <c r="F48" s="26"/>
      <c r="G48" s="70"/>
      <c r="H48" s="65"/>
    </row>
    <row r="49" spans="1:2001" hidden="1" x14ac:dyDescent="0.25">
      <c r="A49" s="62"/>
      <c r="B49" s="28" t="s">
        <v>33</v>
      </c>
      <c r="C49" s="42" t="s">
        <v>33</v>
      </c>
      <c r="D49" s="42" t="s">
        <v>33</v>
      </c>
      <c r="E49" s="42" t="s">
        <v>33</v>
      </c>
      <c r="F49" s="26" t="s">
        <v>33</v>
      </c>
      <c r="G49" s="70"/>
      <c r="H49" s="65"/>
    </row>
    <row r="50" spans="1:2001" ht="14.25" hidden="1" customHeight="1" x14ac:dyDescent="0.25">
      <c r="G50" s="70"/>
      <c r="H50" s="65"/>
    </row>
    <row r="51" spans="1:2001" hidden="1" x14ac:dyDescent="0.25">
      <c r="A51" s="44"/>
      <c r="B51" s="44"/>
      <c r="C51" s="44"/>
      <c r="D51" s="44"/>
      <c r="E51" s="44"/>
      <c r="F51" s="59"/>
      <c r="G51" s="70"/>
      <c r="H51" s="65"/>
    </row>
    <row r="52" spans="1:2001" ht="18.600000000000001" thickBot="1" x14ac:dyDescent="0.4">
      <c r="A52" s="50" t="s">
        <v>30</v>
      </c>
      <c r="B52" s="51" t="s">
        <v>83</v>
      </c>
      <c r="C52" s="51" t="s">
        <v>84</v>
      </c>
      <c r="D52" s="51" t="s">
        <v>85</v>
      </c>
      <c r="E52" s="51" t="s">
        <v>86</v>
      </c>
      <c r="F52" s="51" t="s">
        <v>87</v>
      </c>
      <c r="G52" s="70"/>
      <c r="H52" s="65"/>
    </row>
    <row r="53" spans="1:2001" s="62" customFormat="1" ht="15.75" thickBot="1" x14ac:dyDescent="0.3">
      <c r="A53" s="62" t="s">
        <v>145</v>
      </c>
      <c r="B53" s="28"/>
      <c r="C53" s="28"/>
      <c r="D53" s="28"/>
      <c r="E53" s="119" t="s">
        <v>32</v>
      </c>
      <c r="F53" s="119" t="s">
        <v>32</v>
      </c>
      <c r="G53" s="70"/>
      <c r="H53" s="6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</row>
    <row r="54" spans="1:2001" s="62" customFormat="1" ht="15.75" thickBot="1" x14ac:dyDescent="0.3">
      <c r="A54" s="62" t="s">
        <v>139</v>
      </c>
      <c r="B54" s="72">
        <f>VLOOKUP(Npu!B2,'neighb_look up tables'!$B$34:$C$36,2,FALSE)</f>
        <v>6</v>
      </c>
      <c r="C54" s="72">
        <f>VLOOKUP(Npu!C2,'neighb_look up tables'!$B$34:$C$36,2,FALSE)</f>
        <v>3</v>
      </c>
      <c r="D54" s="72">
        <f>VLOOKUP(Npu!D2,'neighb_look up tables'!$B$34:$C$36,2,FALSE)</f>
        <v>0.5</v>
      </c>
      <c r="E54" s="72">
        <f>VLOOKUP(E53,'neighb_look up tables'!$A$17:$I$22,8,FALSE)</f>
        <v>0</v>
      </c>
      <c r="F54" s="72">
        <f>VLOOKUP(F53,'neighb_look up tables'!$A$17:$I$22,9,FALSE)</f>
        <v>0</v>
      </c>
      <c r="G54" s="70"/>
      <c r="H54" s="6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</row>
    <row r="55" spans="1:2001" s="62" customFormat="1" ht="15.75" hidden="1" thickBot="1" x14ac:dyDescent="0.3">
      <c r="A55" s="62" t="s">
        <v>95</v>
      </c>
      <c r="B55" s="67">
        <f>B53*B54</f>
        <v>0</v>
      </c>
      <c r="C55" s="67">
        <f>C53*C54</f>
        <v>0</v>
      </c>
      <c r="D55" s="67">
        <f>D53*D54</f>
        <v>0</v>
      </c>
      <c r="E55" s="67">
        <f>E54</f>
        <v>0</v>
      </c>
      <c r="F55" s="67">
        <f>F54</f>
        <v>0</v>
      </c>
      <c r="G55" s="70"/>
      <c r="H55" s="6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</row>
    <row r="56" spans="1:2001" s="62" customFormat="1" ht="15.75" thickBot="1" x14ac:dyDescent="0.3">
      <c r="A56" s="62" t="s">
        <v>140</v>
      </c>
      <c r="B56" s="28" t="s">
        <v>32</v>
      </c>
      <c r="C56" s="28" t="s">
        <v>32</v>
      </c>
      <c r="D56" s="28" t="s">
        <v>107</v>
      </c>
      <c r="E56" s="28" t="s">
        <v>32</v>
      </c>
      <c r="F56" s="28" t="s">
        <v>32</v>
      </c>
      <c r="G56" s="71" t="s">
        <v>113</v>
      </c>
      <c r="H56" s="79">
        <f>H58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</row>
    <row r="57" spans="1:2001" s="62" customFormat="1" ht="15.75" hidden="1" thickBot="1" x14ac:dyDescent="0.3">
      <c r="A57" s="62" t="s">
        <v>21</v>
      </c>
      <c r="B57" s="67">
        <f>VLOOKUP(B56,'neighb_look up tables'!$A$39:$B$54,2,FALSE)</f>
        <v>0</v>
      </c>
      <c r="C57" s="67">
        <f>VLOOKUP(C56,'neighb_look up tables'!$A$39:$B$54,2,FALSE)</f>
        <v>0</v>
      </c>
      <c r="D57" s="67">
        <f>VLOOKUP(D56,'neighb_look up tables'!$A$39:$B$54,2,FALSE)</f>
        <v>0</v>
      </c>
      <c r="E57" s="67">
        <f>VLOOKUP(E56,'neighb_look up tables'!$A$39:$B$54,2,FALSE)</f>
        <v>0</v>
      </c>
      <c r="F57" s="67">
        <f>VLOOKUP(F56,'neighb_look up tables'!$A$39:$B$54,2,FALSE)</f>
        <v>0</v>
      </c>
      <c r="G57" s="60"/>
      <c r="H57" s="6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</row>
    <row r="58" spans="1:2001" s="62" customFormat="1" ht="15" hidden="1" customHeight="1" thickBot="1" x14ac:dyDescent="0.3">
      <c r="A58" s="62" t="s">
        <v>19</v>
      </c>
      <c r="B58" s="67">
        <f>B55*B57</f>
        <v>0</v>
      </c>
      <c r="C58" s="67">
        <f>C55*C57</f>
        <v>0</v>
      </c>
      <c r="D58" s="67">
        <f>D55*D57</f>
        <v>0</v>
      </c>
      <c r="E58" s="67">
        <f>E55*E57</f>
        <v>0</v>
      </c>
      <c r="F58" s="67">
        <f>F55*F57</f>
        <v>0</v>
      </c>
      <c r="G58" s="71" t="s">
        <v>36</v>
      </c>
      <c r="H58" s="65">
        <f>SUM(B58:F58)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</row>
    <row r="59" spans="1:2001" s="62" customFormat="1" ht="15.75" thickBot="1" x14ac:dyDescent="0.3">
      <c r="A59" s="62" t="s">
        <v>141</v>
      </c>
      <c r="B59" s="28"/>
      <c r="C59" s="28"/>
      <c r="D59" s="28"/>
      <c r="E59" s="28"/>
      <c r="F59" s="28"/>
      <c r="G59" s="60" t="s">
        <v>35</v>
      </c>
      <c r="H59" s="65">
        <f>SUM(B63:F63)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</row>
    <row r="60" spans="1:2001" s="62" customFormat="1" ht="15.75" thickBot="1" x14ac:dyDescent="0.3">
      <c r="A60" s="62" t="s">
        <v>144</v>
      </c>
      <c r="B60" s="72">
        <f>VLOOKUP(B2,'neighb_look up tables'!$A$82:$E$86,5,FALSE)</f>
        <v>25</v>
      </c>
      <c r="C60" s="72">
        <f>VLOOKUP(C2,'neighb_look up tables'!$A$82:$E$86,5,FALSE)</f>
        <v>13</v>
      </c>
      <c r="D60" s="72">
        <f>VLOOKUP(D2,'neighb_look up tables'!$A$82:$E$86,5,FALSE)</f>
        <v>6</v>
      </c>
      <c r="E60" s="72">
        <f>VLOOKUP(E2,'neighb_look up tables'!$A$82:$E$86,5,FALSE)</f>
        <v>3</v>
      </c>
      <c r="F60" s="72">
        <f>VLOOKUP(F2,'neighb_look up tables'!$A$82:$E$86,5,FALSE)</f>
        <v>1</v>
      </c>
      <c r="G60" s="60"/>
      <c r="H60" s="6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</row>
    <row r="61" spans="1:2001" s="62" customFormat="1" ht="15.75" thickBot="1" x14ac:dyDescent="0.3">
      <c r="A61" s="81" t="s">
        <v>142</v>
      </c>
      <c r="B61" s="28" t="s">
        <v>32</v>
      </c>
      <c r="C61" s="28" t="s">
        <v>32</v>
      </c>
      <c r="D61" s="28" t="s">
        <v>32</v>
      </c>
      <c r="E61" s="28" t="s">
        <v>32</v>
      </c>
      <c r="F61" s="28" t="s">
        <v>32</v>
      </c>
      <c r="G61" s="75" t="s">
        <v>54</v>
      </c>
      <c r="H61" s="78">
        <f>H58+H59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</row>
    <row r="62" spans="1:2001" s="62" customFormat="1" ht="15.75" hidden="1" thickBot="1" x14ac:dyDescent="0.3">
      <c r="A62" s="76" t="s">
        <v>22</v>
      </c>
      <c r="B62" s="67">
        <f>VLOOKUP(B61,'neighb_look up tables'!$A$39:$B$54,2,FALSE)</f>
        <v>0</v>
      </c>
      <c r="C62" s="67">
        <f>VLOOKUP(C61,'neighb_look up tables'!$A$39:$B$54,2,FALSE)</f>
        <v>0</v>
      </c>
      <c r="D62" s="67">
        <f>VLOOKUP(D61,'neighb_look up tables'!$A$39:$B$54,2,FALSE)</f>
        <v>0</v>
      </c>
      <c r="E62" s="67">
        <f>VLOOKUP(E61,'neighb_look up tables'!$A$39:$B$54,2,FALSE)</f>
        <v>0</v>
      </c>
      <c r="F62" s="67">
        <f>VLOOKUP(F61,'neighb_look up tables'!$A$39:$B$54,2,FALSE)</f>
        <v>0</v>
      </c>
      <c r="G62" s="70"/>
      <c r="H62" s="6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</row>
    <row r="63" spans="1:2001" s="62" customFormat="1" ht="15.75" hidden="1" thickBot="1" x14ac:dyDescent="0.3">
      <c r="A63" s="77" t="s">
        <v>20</v>
      </c>
      <c r="B63" s="67">
        <f>B59*B60*B62</f>
        <v>0</v>
      </c>
      <c r="C63" s="67">
        <f>C59*C60*C62</f>
        <v>0</v>
      </c>
      <c r="D63" s="67">
        <f>D59*D60*D62</f>
        <v>0</v>
      </c>
      <c r="E63" s="67">
        <f>E59*E60*E62</f>
        <v>0</v>
      </c>
      <c r="F63" s="67">
        <f>F59*F60*F62</f>
        <v>0</v>
      </c>
      <c r="G63" s="70"/>
      <c r="H63" s="6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</row>
    <row r="64" spans="1:2001" s="62" customFormat="1" ht="15.75" hidden="1" thickBot="1" x14ac:dyDescent="0.3">
      <c r="A64" s="76" t="s">
        <v>51</v>
      </c>
      <c r="B64" s="73">
        <f>B58+B63</f>
        <v>0</v>
      </c>
      <c r="C64" s="73">
        <f>C58+C63</f>
        <v>0</v>
      </c>
      <c r="D64" s="73">
        <f>D58+D63</f>
        <v>0</v>
      </c>
      <c r="E64" s="73">
        <f>E58+E63</f>
        <v>0</v>
      </c>
      <c r="F64" s="73">
        <f>F58+F63</f>
        <v>0</v>
      </c>
      <c r="G64" s="70" t="s">
        <v>38</v>
      </c>
      <c r="H64" s="65">
        <f>H11+H27+H44+H61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</row>
    <row r="65" spans="1:2001" s="62" customFormat="1" x14ac:dyDescent="0.25">
      <c r="A65" s="74"/>
      <c r="B65" s="74"/>
      <c r="C65" s="74"/>
      <c r="D65" s="74"/>
      <c r="E65" s="74"/>
      <c r="F65" s="74" t="s">
        <v>37</v>
      </c>
      <c r="G65" s="59" t="s">
        <v>148</v>
      </c>
      <c r="H65" s="80">
        <f>H11+H27+H44+H61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</row>
    <row r="66" spans="1:2001" ht="18.75" x14ac:dyDescent="0.3">
      <c r="B66" s="21"/>
    </row>
    <row r="67" spans="1:2001" ht="18.75" customHeight="1" x14ac:dyDescent="0.3">
      <c r="B67" s="150"/>
      <c r="C67" s="150"/>
      <c r="D67" s="150"/>
      <c r="E67" s="150"/>
      <c r="F67" s="150"/>
      <c r="G67" s="150"/>
      <c r="H67" s="150"/>
      <c r="I67" s="25"/>
      <c r="K67" s="9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001" ht="18.75" customHeight="1" x14ac:dyDescent="0.3">
      <c r="B68" s="25"/>
      <c r="C68" s="25"/>
      <c r="D68" s="25"/>
      <c r="E68" s="25"/>
      <c r="F68" s="25"/>
      <c r="G68" s="25"/>
      <c r="H68" s="25"/>
      <c r="I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001" ht="15" customHeight="1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3" spans="1:2001" x14ac:dyDescent="0.25">
      <c r="I73" s="9"/>
      <c r="J73" s="9"/>
    </row>
    <row r="74" spans="1:2001" x14ac:dyDescent="0.25">
      <c r="I74" s="9"/>
      <c r="J74" s="9"/>
    </row>
    <row r="75" spans="1:2001" x14ac:dyDescent="0.25">
      <c r="I75" s="9"/>
      <c r="J75" s="9"/>
    </row>
    <row r="76" spans="1:2001" x14ac:dyDescent="0.25">
      <c r="I76" s="9"/>
      <c r="J76" s="9"/>
    </row>
    <row r="77" spans="1:2001" x14ac:dyDescent="0.25">
      <c r="I77" s="9"/>
      <c r="J77" s="9"/>
    </row>
    <row r="78" spans="1:2001" x14ac:dyDescent="0.25">
      <c r="J78" s="9"/>
    </row>
    <row r="79" spans="1:2001" x14ac:dyDescent="0.25">
      <c r="J79" s="9"/>
    </row>
    <row r="80" spans="1:2001" x14ac:dyDescent="0.25">
      <c r="I80" s="9"/>
      <c r="J80" s="9"/>
    </row>
    <row r="81" spans="9:10" x14ac:dyDescent="0.25">
      <c r="I81" s="9"/>
      <c r="J81" s="9"/>
    </row>
    <row r="82" spans="9:10" x14ac:dyDescent="0.25">
      <c r="I82" s="9"/>
      <c r="J82" s="9"/>
    </row>
    <row r="83" spans="9:10" x14ac:dyDescent="0.25">
      <c r="I83" s="9"/>
      <c r="J83" s="9"/>
    </row>
    <row r="84" spans="9:10" x14ac:dyDescent="0.25">
      <c r="I84" s="9"/>
    </row>
    <row r="85" spans="9:10" x14ac:dyDescent="0.25">
      <c r="I85" s="9"/>
    </row>
    <row r="90" spans="9:10" x14ac:dyDescent="0.25">
      <c r="I90" s="9"/>
    </row>
    <row r="94" spans="9:10" x14ac:dyDescent="0.25">
      <c r="I94" s="9"/>
    </row>
    <row r="233" spans="6:6" x14ac:dyDescent="0.25">
      <c r="F233" s="9" t="s">
        <v>32</v>
      </c>
    </row>
  </sheetData>
  <sheetProtection password="9F0B" sheet="1" objects="1" scenarios="1" selectLockedCells="1"/>
  <mergeCells count="1">
    <mergeCell ref="B67:H67"/>
  </mergeCells>
  <conditionalFormatting sqref="B66">
    <cfRule type="expression" priority="1" stopIfTrue="1">
      <formula>"and(c44 = 1, c45 = ""Some shielded"""</formula>
    </cfRule>
  </conditionalFormatting>
  <dataValidations xWindow="367" yWindow="281" count="42">
    <dataValidation allowBlank="1" showErrorMessage="1" prompt="enter the # of houses" sqref="B19:B21 C20:D21"/>
    <dataValidation allowBlank="1" showErrorMessage="1" prompt="Enter the # of houses" sqref="B53:D55 C3:D4 B3:B5 C19:D19 B36:D38 C5:F5"/>
    <dataValidation allowBlank="1" showErrorMessage="1" prompt="enter the # of public use facilities" sqref="B59:F60 B42:F43 B25:F26 B9:F10"/>
    <dataValidation type="list" allowBlank="1" showInputMessage="1" showErrorMessage="1" sqref="B39">
      <formula1>Under600Shielding</formula1>
    </dataValidation>
    <dataValidation type="list" allowBlank="1" showInputMessage="1" showErrorMessage="1" sqref="C39">
      <formula1>N600to1200Shielding</formula1>
    </dataValidation>
    <dataValidation type="list" allowBlank="1" showInputMessage="1" showErrorMessage="1" sqref="D56">
      <formula1>N1200to1800Shielding</formula1>
    </dataValidation>
    <dataValidation type="list" allowBlank="1" showInputMessage="1" showErrorMessage="1" sqref="E56">
      <formula1>N1800to2400Shielding</formula1>
    </dataValidation>
    <dataValidation type="list" allowBlank="1" showInputMessage="1" showErrorMessage="1" sqref="F56">
      <formula1>N2400to3000Shielding</formula1>
    </dataValidation>
    <dataValidation type="list" allowBlank="1" showInputMessage="1" showErrorMessage="1" sqref="B56">
      <formula1>Under600Shielding</formula1>
    </dataValidation>
    <dataValidation type="list" allowBlank="1" showInputMessage="1" showErrorMessage="1" sqref="C56">
      <formula1>N600to1200Shielding</formula1>
    </dataValidation>
    <dataValidation type="list" allowBlank="1" showInputMessage="1" showErrorMessage="1" sqref="F19 E36">
      <formula1>AmountHomes</formula1>
    </dataValidation>
    <dataValidation type="list" allowBlank="1" showInputMessage="1" showErrorMessage="1" sqref="F36">
      <formula1>AmountHomes</formula1>
    </dataValidation>
    <dataValidation type="list" allowBlank="1" showInputMessage="1" showErrorMessage="1" sqref="E53">
      <formula1>AmountHomes</formula1>
    </dataValidation>
    <dataValidation type="list" allowBlank="1" showInputMessage="1" showErrorMessage="1" sqref="F6 F22 F39">
      <formula1>N2400to3000Shielding</formula1>
    </dataValidation>
    <dataValidation type="list" allowBlank="1" showInputMessage="1" showErrorMessage="1" sqref="F53">
      <formula1>AmountHomes</formula1>
    </dataValidation>
    <dataValidation type="list" allowBlank="1" showErrorMessage="1" sqref="F3">
      <formula1>AmountHomes</formula1>
    </dataValidation>
    <dataValidation type="list" allowBlank="1" showInputMessage="1" showErrorMessage="1" sqref="B6 B22">
      <formula1>Under600Shielding</formula1>
    </dataValidation>
    <dataValidation type="list" allowBlank="1" showInputMessage="1" showErrorMessage="1" sqref="C6 C22">
      <formula1>N600to1200Shielding</formula1>
    </dataValidation>
    <dataValidation type="list" allowBlank="1" showInputMessage="1" showErrorMessage="1" sqref="D6 D22 D39">
      <formula1>N1200to1800Shielding</formula1>
    </dataValidation>
    <dataValidation type="list" allowBlank="1" showInputMessage="1" showErrorMessage="1" sqref="E6 E22 E39">
      <formula1>N1800to2400Shielding</formula1>
    </dataValidation>
    <dataValidation type="list" allowBlank="1" showErrorMessage="1" sqref="E3">
      <formula1>AmountHomes</formula1>
    </dataValidation>
    <dataValidation type="list" allowBlank="1" showInputMessage="1" showErrorMessage="1" sqref="E19">
      <formula1>AmountHomes</formula1>
    </dataValidation>
    <dataValidation type="list" allowBlank="1" showInputMessage="1" showErrorMessage="1" sqref="E11">
      <formula1>N1800to2400Shielding</formula1>
    </dataValidation>
    <dataValidation type="list" allowBlank="1" showInputMessage="1" showErrorMessage="1" sqref="F11">
      <formula1>N2400to3000Shielding</formula1>
    </dataValidation>
    <dataValidation type="list" allowBlank="1" showInputMessage="1" showErrorMessage="1" sqref="B27">
      <formula1>Under600Shielding</formula1>
    </dataValidation>
    <dataValidation type="list" allowBlank="1" showInputMessage="1" showErrorMessage="1" sqref="C27">
      <formula1>N600to1200Shielding</formula1>
    </dataValidation>
    <dataValidation type="list" allowBlank="1" showInputMessage="1" showErrorMessage="1" sqref="B11">
      <formula1>Under600Shielding</formula1>
    </dataValidation>
    <dataValidation type="list" allowBlank="1" showInputMessage="1" showErrorMessage="1" sqref="C11">
      <formula1>N600to1200Shielding</formula1>
    </dataValidation>
    <dataValidation type="list" allowBlank="1" showInputMessage="1" showErrorMessage="1" sqref="D11">
      <formula1>N1200to1800Shielding</formula1>
    </dataValidation>
    <dataValidation type="list" allowBlank="1" showInputMessage="1" showErrorMessage="1" sqref="D27">
      <formula1>N1200to1800Shielding</formula1>
    </dataValidation>
    <dataValidation type="list" allowBlank="1" showInputMessage="1" showErrorMessage="1" sqref="E27">
      <formula1>N1800to2400Shielding</formula1>
    </dataValidation>
    <dataValidation type="list" allowBlank="1" showInputMessage="1" showErrorMessage="1" sqref="F27">
      <formula1>N2400to3000Shielding</formula1>
    </dataValidation>
    <dataValidation type="list" allowBlank="1" showInputMessage="1" showErrorMessage="1" sqref="B44">
      <formula1>Under600Shielding</formula1>
    </dataValidation>
    <dataValidation type="list" allowBlank="1" showInputMessage="1" showErrorMessage="1" sqref="C44">
      <formula1>N600to1200Shielding</formula1>
    </dataValidation>
    <dataValidation type="list" allowBlank="1" showInputMessage="1" showErrorMessage="1" sqref="D44">
      <formula1>N1200to1800Shielding</formula1>
    </dataValidation>
    <dataValidation type="list" allowBlank="1" showInputMessage="1" showErrorMessage="1" sqref="E44">
      <formula1>N1800to2400Shielding</formula1>
    </dataValidation>
    <dataValidation type="list" allowBlank="1" showInputMessage="1" showErrorMessage="1" sqref="F44">
      <formula1>N2400to3000Shielding</formula1>
    </dataValidation>
    <dataValidation type="list" allowBlank="1" showInputMessage="1" showErrorMessage="1" sqref="B61">
      <formula1>Under600Shielding</formula1>
    </dataValidation>
    <dataValidation type="list" allowBlank="1" showInputMessage="1" showErrorMessage="1" sqref="C61">
      <formula1>N600to1200Shielding</formula1>
    </dataValidation>
    <dataValidation type="list" allowBlank="1" showInputMessage="1" showErrorMessage="1" sqref="D61">
      <formula1>N1200to1800Shielding</formula1>
    </dataValidation>
    <dataValidation type="list" allowBlank="1" showInputMessage="1" showErrorMessage="1" sqref="E61">
      <formula1>N1800to2400Shielding</formula1>
    </dataValidation>
    <dataValidation type="list" allowBlank="1" showInputMessage="1" showErrorMessage="1" sqref="F61">
      <formula1>N2400to3000Shielding</formula1>
    </dataValidation>
  </dataValidations>
  <pageMargins left="0.15" right="0.1" top="0.75" bottom="0.5" header="0.3" footer="0.3"/>
  <pageSetup orientation="landscape" r:id="rId1"/>
  <headerFooter>
    <oddHeader>&amp;CAct 38 Odor Managment Plan - Odor Site Index</oddHeader>
    <oddFooter>&amp;COSI Version 2.0 August 26, 2013</oddFooter>
  </headerFooter>
  <drawing r:id="rId2"/>
  <legacyDrawing r:id="rId3"/>
  <controls>
    <mc:AlternateContent xmlns:mc="http://schemas.openxmlformats.org/markup-compatibility/2006">
      <mc:Choice Requires="x14">
        <control shapeId="2070" r:id="rId4" name="cmdReturnEast">
          <controlPr defaultSize="0" print="0" autoLine="0" autoPict="0" r:id="rId5">
            <anchor moveWithCells="1">
              <from>
                <xdr:col>8</xdr:col>
                <xdr:colOff>19050</xdr:colOff>
                <xdr:row>1</xdr:row>
                <xdr:rowOff>0</xdr:rowOff>
              </from>
              <to>
                <xdr:col>11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2070" r:id="rId4" name="cmdReturnEast"/>
      </mc:Fallback>
    </mc:AlternateContent>
    <mc:AlternateContent xmlns:mc="http://schemas.openxmlformats.org/markup-compatibility/2006">
      <mc:Choice Requires="x14">
        <control shapeId="2054" r:id="rId6" name="imgHomesEast">
          <controlPr defaultSize="0" print="0" autoLine="0" autoPict="0" r:id="rId7">
            <anchor moveWithCells="1">
              <from>
                <xdr:col>10</xdr:col>
                <xdr:colOff>847725</xdr:colOff>
                <xdr:row>26</xdr:row>
                <xdr:rowOff>57150</xdr:rowOff>
              </from>
              <to>
                <xdr:col>11</xdr:col>
                <xdr:colOff>66675</xdr:colOff>
                <xdr:row>34</xdr:row>
                <xdr:rowOff>209550</xdr:rowOff>
              </to>
            </anchor>
          </controlPr>
        </control>
      </mc:Choice>
      <mc:Fallback>
        <control shapeId="2054" r:id="rId6" name="imgHomesEast"/>
      </mc:Fallback>
    </mc:AlternateContent>
    <mc:AlternateContent xmlns:mc="http://schemas.openxmlformats.org/markup-compatibility/2006">
      <mc:Choice Requires="x14">
        <control shapeId="2059" r:id="rId8" name="imgPublicUse">
          <controlPr defaultSize="0" print="0" autoFill="0" autoLine="0" autoPict="0" r:id="rId9">
            <anchor moveWithCells="1">
              <from>
                <xdr:col>10</xdr:col>
                <xdr:colOff>857250</xdr:colOff>
                <xdr:row>34</xdr:row>
                <xdr:rowOff>219075</xdr:rowOff>
              </from>
              <to>
                <xdr:col>11</xdr:col>
                <xdr:colOff>66675</xdr:colOff>
                <xdr:row>36</xdr:row>
                <xdr:rowOff>114300</xdr:rowOff>
              </to>
            </anchor>
          </controlPr>
        </control>
      </mc:Choice>
      <mc:Fallback>
        <control shapeId="2059" r:id="rId8" name="imgPublicUse"/>
      </mc:Fallback>
    </mc:AlternateContent>
    <mc:AlternateContent xmlns:mc="http://schemas.openxmlformats.org/markup-compatibility/2006">
      <mc:Choice Requires="x14">
        <control shapeId="2068" r:id="rId10" name="Label1">
          <controlPr defaultSize="0" print="0" autoLine="0" autoPict="0" r:id="rId11">
            <anchor moveWithCells="1">
              <from>
                <xdr:col>8</xdr:col>
                <xdr:colOff>28575</xdr:colOff>
                <xdr:row>26</xdr:row>
                <xdr:rowOff>57150</xdr:rowOff>
              </from>
              <to>
                <xdr:col>10</xdr:col>
                <xdr:colOff>866775</xdr:colOff>
                <xdr:row>34</xdr:row>
                <xdr:rowOff>238125</xdr:rowOff>
              </to>
            </anchor>
          </controlPr>
        </control>
      </mc:Choice>
      <mc:Fallback>
        <control shapeId="2068" r:id="rId10" name="Label1"/>
      </mc:Fallback>
    </mc:AlternateContent>
    <mc:AlternateContent xmlns:mc="http://schemas.openxmlformats.org/markup-compatibility/2006">
      <mc:Choice Requires="x14">
        <control shapeId="2069" r:id="rId12" name="Label2">
          <controlPr defaultSize="0" print="0" autoLine="0" autoPict="0" r:id="rId13">
            <anchor moveWithCells="1">
              <from>
                <xdr:col>8</xdr:col>
                <xdr:colOff>28575</xdr:colOff>
                <xdr:row>34</xdr:row>
                <xdr:rowOff>238125</xdr:rowOff>
              </from>
              <to>
                <xdr:col>10</xdr:col>
                <xdr:colOff>866775</xdr:colOff>
                <xdr:row>36</xdr:row>
                <xdr:rowOff>123825</xdr:rowOff>
              </to>
            </anchor>
          </controlPr>
        </control>
      </mc:Choice>
      <mc:Fallback>
        <control shapeId="2069" r:id="rId12" name="Label2"/>
      </mc:Fallback>
    </mc:AlternateContent>
    <mc:AlternateContent xmlns:mc="http://schemas.openxmlformats.org/markup-compatibility/2006">
      <mc:Choice Requires="x14">
        <control shapeId="2075" r:id="rId14" name="cmdReturnSouth">
          <controlPr defaultSize="0" print="0" autoLine="0" autoPict="0" r:id="rId15">
            <anchor moveWithCells="1">
              <from>
                <xdr:col>8</xdr:col>
                <xdr:colOff>19050</xdr:colOff>
                <xdr:row>5</xdr:row>
                <xdr:rowOff>38100</xdr:rowOff>
              </from>
              <to>
                <xdr:col>11</xdr:col>
                <xdr:colOff>57150</xdr:colOff>
                <xdr:row>17</xdr:row>
                <xdr:rowOff>9525</xdr:rowOff>
              </to>
            </anchor>
          </controlPr>
        </control>
      </mc:Choice>
      <mc:Fallback>
        <control shapeId="2075" r:id="rId14" name="cmdReturnSouth"/>
      </mc:Fallback>
    </mc:AlternateContent>
    <mc:AlternateContent xmlns:mc="http://schemas.openxmlformats.org/markup-compatibility/2006">
      <mc:Choice Requires="x14">
        <control shapeId="2076" r:id="rId16" name="cmdReturnNorth">
          <controlPr defaultSize="0" print="0" autoLine="0" autoPict="0" r:id="rId17">
            <anchor moveWithCells="1">
              <from>
                <xdr:col>8</xdr:col>
                <xdr:colOff>19050</xdr:colOff>
                <xdr:row>17</xdr:row>
                <xdr:rowOff>9525</xdr:rowOff>
              </from>
              <to>
                <xdr:col>11</xdr:col>
                <xdr:colOff>57150</xdr:colOff>
                <xdr:row>21</xdr:row>
                <xdr:rowOff>38100</xdr:rowOff>
              </to>
            </anchor>
          </controlPr>
        </control>
      </mc:Choice>
      <mc:Fallback>
        <control shapeId="2076" r:id="rId16" name="cmdReturnNorth"/>
      </mc:Fallback>
    </mc:AlternateContent>
    <mc:AlternateContent xmlns:mc="http://schemas.openxmlformats.org/markup-compatibility/2006">
      <mc:Choice Requires="x14">
        <control shapeId="2077" r:id="rId18" name="cmdReturnWest">
          <controlPr defaultSize="0" print="0" autoLine="0" autoPict="0" r:id="rId19">
            <anchor moveWithCells="1">
              <from>
                <xdr:col>8</xdr:col>
                <xdr:colOff>19050</xdr:colOff>
                <xdr:row>21</xdr:row>
                <xdr:rowOff>19050</xdr:rowOff>
              </from>
              <to>
                <xdr:col>11</xdr:col>
                <xdr:colOff>66675</xdr:colOff>
                <xdr:row>26</xdr:row>
                <xdr:rowOff>57150</xdr:rowOff>
              </to>
            </anchor>
          </controlPr>
        </control>
      </mc:Choice>
      <mc:Fallback>
        <control shapeId="2077" r:id="rId18" name="cmdReturnWest"/>
      </mc:Fallback>
    </mc:AlternateContent>
    <mc:AlternateContent xmlns:mc="http://schemas.openxmlformats.org/markup-compatibility/2006">
      <mc:Choice Requires="x14">
        <control shapeId="2053" r:id="rId20" name="Button 5">
          <controlPr defaultSize="0" print="0" autoFill="0" autoPict="0" macro="[0]!reset_neighbor_homes">
            <anchor moveWithCells="1" sizeWithCells="1">
              <from>
                <xdr:col>0</xdr:col>
                <xdr:colOff>47625</xdr:colOff>
                <xdr:row>65</xdr:row>
                <xdr:rowOff>9525</xdr:rowOff>
              </from>
              <to>
                <xdr:col>1</xdr:col>
                <xdr:colOff>0</xdr:colOff>
                <xdr:row>68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0"/>
  <sheetViews>
    <sheetView workbookViewId="0">
      <selection activeCell="A40" sqref="A40:A43"/>
    </sheetView>
  </sheetViews>
  <sheetFormatPr defaultRowHeight="15" x14ac:dyDescent="0.25"/>
  <cols>
    <col min="1" max="1" width="19.140625" bestFit="1" customWidth="1"/>
    <col min="2" max="2" width="27.5703125" bestFit="1" customWidth="1"/>
    <col min="5" max="5" width="47.7109375" bestFit="1" customWidth="1"/>
    <col min="6" max="6" width="21.5703125" bestFit="1" customWidth="1"/>
  </cols>
  <sheetData>
    <row r="1" spans="1:6" ht="15.75" thickBot="1" x14ac:dyDescent="0.3">
      <c r="A1" t="s">
        <v>150</v>
      </c>
    </row>
    <row r="2" spans="1:6" ht="15.75" thickBot="1" x14ac:dyDescent="0.3">
      <c r="A2" s="86" t="s">
        <v>32</v>
      </c>
      <c r="B2" s="87" t="s">
        <v>114</v>
      </c>
      <c r="E2" t="s">
        <v>151</v>
      </c>
    </row>
    <row r="3" spans="1:6" x14ac:dyDescent="0.25">
      <c r="A3" s="88" t="s">
        <v>61</v>
      </c>
      <c r="B3" s="89">
        <v>12</v>
      </c>
      <c r="E3" s="93" t="s">
        <v>32</v>
      </c>
      <c r="F3" s="94" t="s">
        <v>115</v>
      </c>
    </row>
    <row r="4" spans="1:6" x14ac:dyDescent="0.25">
      <c r="A4" s="88" t="s">
        <v>62</v>
      </c>
      <c r="B4" s="89">
        <v>9</v>
      </c>
      <c r="E4" s="90" t="s">
        <v>131</v>
      </c>
      <c r="F4" s="95">
        <v>2</v>
      </c>
    </row>
    <row r="5" spans="1:6" x14ac:dyDescent="0.25">
      <c r="A5" s="88" t="s">
        <v>63</v>
      </c>
      <c r="B5" s="89">
        <v>6</v>
      </c>
      <c r="E5" s="96" t="s">
        <v>66</v>
      </c>
      <c r="F5" s="97">
        <v>2</v>
      </c>
    </row>
    <row r="6" spans="1:6" x14ac:dyDescent="0.25">
      <c r="A6" s="90" t="s">
        <v>64</v>
      </c>
      <c r="B6" s="89">
        <v>3</v>
      </c>
      <c r="E6" s="96" t="s">
        <v>67</v>
      </c>
      <c r="F6" s="97">
        <v>2</v>
      </c>
    </row>
    <row r="7" spans="1:6" ht="15.75" thickBot="1" x14ac:dyDescent="0.3">
      <c r="A7" s="91" t="s">
        <v>65</v>
      </c>
      <c r="B7" s="92">
        <v>0</v>
      </c>
      <c r="E7" s="96" t="s">
        <v>124</v>
      </c>
      <c r="F7" s="120">
        <v>2</v>
      </c>
    </row>
    <row r="8" spans="1:6" x14ac:dyDescent="0.25">
      <c r="E8" s="90" t="s">
        <v>68</v>
      </c>
      <c r="F8" s="97">
        <v>2</v>
      </c>
    </row>
    <row r="9" spans="1:6" x14ac:dyDescent="0.25">
      <c r="E9" s="90" t="s">
        <v>130</v>
      </c>
      <c r="F9" s="97">
        <v>4</v>
      </c>
    </row>
    <row r="10" spans="1:6" ht="15.75" thickBot="1" x14ac:dyDescent="0.3">
      <c r="A10" t="s">
        <v>149</v>
      </c>
      <c r="E10" s="90" t="s">
        <v>70</v>
      </c>
      <c r="F10" s="97">
        <v>4</v>
      </c>
    </row>
    <row r="11" spans="1:6" ht="15.75" thickBot="1" x14ac:dyDescent="0.3">
      <c r="A11" s="100" t="s">
        <v>32</v>
      </c>
      <c r="B11" s="101">
        <v>0</v>
      </c>
      <c r="C11" t="s">
        <v>166</v>
      </c>
      <c r="E11" s="90" t="s">
        <v>69</v>
      </c>
      <c r="F11" s="97">
        <v>4</v>
      </c>
    </row>
    <row r="12" spans="1:6" ht="15.75" thickBot="1" x14ac:dyDescent="0.3">
      <c r="A12" s="100" t="s">
        <v>127</v>
      </c>
      <c r="B12" s="102">
        <v>0.2</v>
      </c>
      <c r="E12" s="90" t="s">
        <v>71</v>
      </c>
      <c r="F12" s="97">
        <v>8</v>
      </c>
    </row>
    <row r="13" spans="1:6" x14ac:dyDescent="0.25">
      <c r="A13" s="100" t="s">
        <v>125</v>
      </c>
      <c r="B13" s="102">
        <v>0</v>
      </c>
      <c r="E13" s="90" t="s">
        <v>72</v>
      </c>
      <c r="F13" s="97">
        <v>8</v>
      </c>
    </row>
    <row r="14" spans="1:6" ht="15.75" thickBot="1" x14ac:dyDescent="0.3">
      <c r="A14" s="96" t="s">
        <v>32</v>
      </c>
      <c r="B14" s="102">
        <v>0</v>
      </c>
      <c r="C14" t="s">
        <v>165</v>
      </c>
      <c r="E14" s="90" t="s">
        <v>74</v>
      </c>
      <c r="F14" s="97">
        <v>8</v>
      </c>
    </row>
    <row r="15" spans="1:6" ht="15.75" thickBot="1" x14ac:dyDescent="0.3">
      <c r="A15" s="100" t="s">
        <v>128</v>
      </c>
      <c r="B15" s="102">
        <v>0.1</v>
      </c>
      <c r="E15" s="98" t="s">
        <v>73</v>
      </c>
      <c r="F15" s="99">
        <v>16</v>
      </c>
    </row>
    <row r="16" spans="1:6" x14ac:dyDescent="0.25">
      <c r="A16" s="100" t="s">
        <v>125</v>
      </c>
      <c r="B16" s="102">
        <v>0</v>
      </c>
    </row>
    <row r="17" spans="1:6" ht="15.75" thickBot="1" x14ac:dyDescent="0.3">
      <c r="A17" s="96" t="s">
        <v>32</v>
      </c>
      <c r="B17" s="102">
        <v>0</v>
      </c>
      <c r="C17" t="s">
        <v>164</v>
      </c>
    </row>
    <row r="18" spans="1:6" ht="15.75" thickBot="1" x14ac:dyDescent="0.3">
      <c r="A18" s="100" t="s">
        <v>126</v>
      </c>
      <c r="B18" s="102">
        <v>0.05</v>
      </c>
    </row>
    <row r="19" spans="1:6" ht="15.75" thickBot="1" x14ac:dyDescent="0.3">
      <c r="A19" s="100" t="s">
        <v>125</v>
      </c>
      <c r="B19" s="103">
        <v>0</v>
      </c>
    </row>
    <row r="20" spans="1:6" ht="15.75" thickBot="1" x14ac:dyDescent="0.3">
      <c r="B20" s="82"/>
      <c r="E20" t="s">
        <v>153</v>
      </c>
    </row>
    <row r="21" spans="1:6" ht="15.75" thickBot="1" x14ac:dyDescent="0.3">
      <c r="A21" s="133" t="s">
        <v>152</v>
      </c>
      <c r="B21" s="82"/>
      <c r="E21" s="93" t="s">
        <v>32</v>
      </c>
      <c r="F21" s="93" t="s">
        <v>32</v>
      </c>
    </row>
    <row r="22" spans="1:6" x14ac:dyDescent="0.25">
      <c r="A22" s="93" t="s">
        <v>32</v>
      </c>
      <c r="B22" s="104">
        <v>0</v>
      </c>
      <c r="C22" s="87">
        <v>0</v>
      </c>
      <c r="E22" s="90" t="s">
        <v>39</v>
      </c>
      <c r="F22" s="90" t="s">
        <v>79</v>
      </c>
    </row>
    <row r="23" spans="1:6" ht="14.45" x14ac:dyDescent="0.3">
      <c r="A23" s="90" t="s">
        <v>79</v>
      </c>
      <c r="B23" s="105">
        <v>0.15</v>
      </c>
      <c r="C23" s="102">
        <v>1.1499999999999999</v>
      </c>
      <c r="E23" s="90" t="s">
        <v>40</v>
      </c>
      <c r="F23" s="90" t="s">
        <v>79</v>
      </c>
    </row>
    <row r="24" spans="1:6" x14ac:dyDescent="0.25">
      <c r="A24" s="90" t="s">
        <v>80</v>
      </c>
      <c r="B24" s="105">
        <v>0</v>
      </c>
      <c r="C24" s="102">
        <f t="shared" ref="C24" si="0">1-B24</f>
        <v>1</v>
      </c>
      <c r="E24" s="90" t="s">
        <v>42</v>
      </c>
      <c r="F24" s="90" t="s">
        <v>79</v>
      </c>
    </row>
    <row r="25" spans="1:6" x14ac:dyDescent="0.25">
      <c r="A25" s="90" t="s">
        <v>81</v>
      </c>
      <c r="B25" s="105">
        <v>-0.1</v>
      </c>
      <c r="C25" s="102">
        <v>0.9</v>
      </c>
      <c r="E25" s="90" t="s">
        <v>41</v>
      </c>
      <c r="F25" s="90" t="s">
        <v>80</v>
      </c>
    </row>
    <row r="26" spans="1:6" x14ac:dyDescent="0.25">
      <c r="A26" s="90" t="s">
        <v>82</v>
      </c>
      <c r="B26" s="105">
        <v>-0.5</v>
      </c>
      <c r="C26" s="102">
        <v>0.5</v>
      </c>
      <c r="E26" s="90" t="s">
        <v>43</v>
      </c>
      <c r="F26" s="90" t="s">
        <v>80</v>
      </c>
    </row>
    <row r="27" spans="1:6" ht="15.75" thickBot="1" x14ac:dyDescent="0.3">
      <c r="A27" s="98" t="s">
        <v>123</v>
      </c>
      <c r="B27" s="106">
        <v>100</v>
      </c>
      <c r="C27" s="103">
        <v>100</v>
      </c>
      <c r="E27" s="90" t="s">
        <v>44</v>
      </c>
      <c r="F27" s="90" t="s">
        <v>80</v>
      </c>
    </row>
    <row r="28" spans="1:6" x14ac:dyDescent="0.25">
      <c r="E28" s="90" t="s">
        <v>45</v>
      </c>
      <c r="F28" s="90" t="s">
        <v>81</v>
      </c>
    </row>
    <row r="29" spans="1:6" x14ac:dyDescent="0.25">
      <c r="E29" s="90" t="s">
        <v>46</v>
      </c>
      <c r="F29" s="90" t="s">
        <v>81</v>
      </c>
    </row>
    <row r="30" spans="1:6" x14ac:dyDescent="0.25">
      <c r="E30" s="90" t="s">
        <v>47</v>
      </c>
      <c r="F30" s="90" t="s">
        <v>82</v>
      </c>
    </row>
    <row r="31" spans="1:6" ht="15.75" thickBot="1" x14ac:dyDescent="0.3">
      <c r="E31" s="98" t="s">
        <v>48</v>
      </c>
      <c r="F31" s="98" t="s">
        <v>123</v>
      </c>
    </row>
    <row r="33" spans="1:6" ht="15.75" thickBot="1" x14ac:dyDescent="0.3">
      <c r="A33" t="s">
        <v>167</v>
      </c>
      <c r="E33" s="133" t="s">
        <v>154</v>
      </c>
    </row>
    <row r="34" spans="1:6" x14ac:dyDescent="0.25">
      <c r="A34" s="93" t="s">
        <v>32</v>
      </c>
      <c r="B34" s="87" t="s">
        <v>114</v>
      </c>
      <c r="E34" s="93" t="s">
        <v>32</v>
      </c>
      <c r="F34" s="87" t="s">
        <v>114</v>
      </c>
    </row>
    <row r="35" spans="1:6" x14ac:dyDescent="0.25">
      <c r="A35" s="90" t="s">
        <v>56</v>
      </c>
      <c r="B35" s="89">
        <v>5</v>
      </c>
      <c r="E35" s="90" t="s">
        <v>58</v>
      </c>
      <c r="F35" s="89">
        <v>10</v>
      </c>
    </row>
    <row r="36" spans="1:6" ht="15.75" thickBot="1" x14ac:dyDescent="0.3">
      <c r="A36" s="98" t="s">
        <v>57</v>
      </c>
      <c r="B36" s="92">
        <v>0</v>
      </c>
      <c r="E36" s="90" t="s">
        <v>59</v>
      </c>
      <c r="F36" s="89">
        <v>5</v>
      </c>
    </row>
    <row r="37" spans="1:6" ht="15.75" thickBot="1" x14ac:dyDescent="0.3">
      <c r="E37" s="98" t="s">
        <v>60</v>
      </c>
      <c r="F37" s="92">
        <v>0</v>
      </c>
    </row>
    <row r="39" spans="1:6" ht="15.75" thickBot="1" x14ac:dyDescent="0.3">
      <c r="A39" s="133" t="s">
        <v>155</v>
      </c>
    </row>
    <row r="40" spans="1:6" ht="15.75" thickBot="1" x14ac:dyDescent="0.3">
      <c r="A40" s="107" t="s">
        <v>32</v>
      </c>
      <c r="B40" s="87" t="s">
        <v>114</v>
      </c>
      <c r="E40" s="134" t="s">
        <v>158</v>
      </c>
    </row>
    <row r="41" spans="1:6" x14ac:dyDescent="0.25">
      <c r="A41" s="90" t="s">
        <v>75</v>
      </c>
      <c r="B41" s="89">
        <v>-5</v>
      </c>
      <c r="E41" s="93" t="s">
        <v>32</v>
      </c>
      <c r="F41" s="93" t="s">
        <v>32</v>
      </c>
    </row>
    <row r="42" spans="1:6" x14ac:dyDescent="0.25">
      <c r="A42" s="90" t="s">
        <v>76</v>
      </c>
      <c r="B42" s="89">
        <v>0</v>
      </c>
      <c r="E42" s="90" t="s">
        <v>39</v>
      </c>
      <c r="F42" s="76" t="s">
        <v>79</v>
      </c>
    </row>
    <row r="43" spans="1:6" ht="15.75" thickBot="1" x14ac:dyDescent="0.3">
      <c r="A43" s="108" t="s">
        <v>78</v>
      </c>
      <c r="B43" s="92">
        <v>0</v>
      </c>
      <c r="E43" s="90" t="s">
        <v>40</v>
      </c>
      <c r="F43" s="76" t="s">
        <v>79</v>
      </c>
    </row>
    <row r="44" spans="1:6" x14ac:dyDescent="0.25">
      <c r="E44" s="90" t="s">
        <v>42</v>
      </c>
      <c r="F44" s="76" t="s">
        <v>79</v>
      </c>
    </row>
    <row r="45" spans="1:6" x14ac:dyDescent="0.25">
      <c r="A45" t="s">
        <v>156</v>
      </c>
      <c r="E45" s="90" t="s">
        <v>41</v>
      </c>
      <c r="F45" s="76" t="s">
        <v>80</v>
      </c>
    </row>
    <row r="46" spans="1:6" ht="15.75" thickBot="1" x14ac:dyDescent="0.3">
      <c r="A46" t="s">
        <v>121</v>
      </c>
      <c r="B46" t="s">
        <v>3</v>
      </c>
      <c r="E46" s="90" t="s">
        <v>43</v>
      </c>
      <c r="F46" s="76" t="s">
        <v>80</v>
      </c>
    </row>
    <row r="47" spans="1:6" x14ac:dyDescent="0.25">
      <c r="A47" s="109">
        <v>0</v>
      </c>
      <c r="B47" s="87" t="s">
        <v>122</v>
      </c>
      <c r="E47" s="90" t="s">
        <v>44</v>
      </c>
      <c r="F47" s="76" t="s">
        <v>80</v>
      </c>
    </row>
    <row r="48" spans="1:6" x14ac:dyDescent="0.25">
      <c r="A48" s="110">
        <v>1</v>
      </c>
      <c r="B48" s="89">
        <v>1200</v>
      </c>
      <c r="E48" s="90" t="s">
        <v>45</v>
      </c>
      <c r="F48" s="76" t="s">
        <v>81</v>
      </c>
    </row>
    <row r="49" spans="1:6" x14ac:dyDescent="0.25">
      <c r="A49" s="110">
        <v>49</v>
      </c>
      <c r="B49" s="89">
        <v>1200</v>
      </c>
      <c r="E49" s="90" t="s">
        <v>46</v>
      </c>
      <c r="F49" s="76" t="s">
        <v>81</v>
      </c>
    </row>
    <row r="50" spans="1:6" ht="15.75" thickBot="1" x14ac:dyDescent="0.3">
      <c r="A50" s="110">
        <v>50</v>
      </c>
      <c r="B50" s="89">
        <v>1800</v>
      </c>
      <c r="E50" s="98" t="s">
        <v>47</v>
      </c>
      <c r="F50" s="116" t="s">
        <v>82</v>
      </c>
    </row>
    <row r="51" spans="1:6" ht="15.75" thickBot="1" x14ac:dyDescent="0.3">
      <c r="A51" s="110">
        <v>199</v>
      </c>
      <c r="B51" s="89">
        <v>1800</v>
      </c>
      <c r="E51" s="98" t="s">
        <v>48</v>
      </c>
      <c r="F51" s="98" t="s">
        <v>123</v>
      </c>
    </row>
    <row r="52" spans="1:6" x14ac:dyDescent="0.25">
      <c r="A52" s="110">
        <v>200</v>
      </c>
      <c r="B52" s="89">
        <v>2400</v>
      </c>
    </row>
    <row r="53" spans="1:6" x14ac:dyDescent="0.25">
      <c r="A53" s="110">
        <v>499</v>
      </c>
      <c r="B53" s="89">
        <v>2400</v>
      </c>
    </row>
    <row r="54" spans="1:6" x14ac:dyDescent="0.25">
      <c r="A54" s="110">
        <v>500</v>
      </c>
      <c r="B54" s="89">
        <v>3000</v>
      </c>
    </row>
    <row r="55" spans="1:6" x14ac:dyDescent="0.25">
      <c r="A55" s="112">
        <v>1000</v>
      </c>
      <c r="B55" s="113">
        <v>3000</v>
      </c>
    </row>
    <row r="56" spans="1:6" ht="15.75" thickBot="1" x14ac:dyDescent="0.3">
      <c r="A56" s="114">
        <v>2000</v>
      </c>
      <c r="B56" s="115">
        <v>3000</v>
      </c>
    </row>
    <row r="59" spans="1:6" ht="15.75" thickBot="1" x14ac:dyDescent="0.3">
      <c r="A59" t="s">
        <v>157</v>
      </c>
    </row>
    <row r="60" spans="1:6" x14ac:dyDescent="0.25">
      <c r="A60" s="109">
        <v>0</v>
      </c>
      <c r="B60" s="87" t="s">
        <v>122</v>
      </c>
    </row>
    <row r="61" spans="1:6" x14ac:dyDescent="0.25">
      <c r="A61" s="110">
        <v>1</v>
      </c>
      <c r="B61" s="89">
        <v>2</v>
      </c>
    </row>
    <row r="62" spans="1:6" x14ac:dyDescent="0.25">
      <c r="A62" s="110">
        <v>199</v>
      </c>
      <c r="B62" s="89">
        <v>2</v>
      </c>
    </row>
    <row r="63" spans="1:6" x14ac:dyDescent="0.25">
      <c r="A63" s="110">
        <v>200</v>
      </c>
      <c r="B63" s="89">
        <v>4</v>
      </c>
    </row>
    <row r="64" spans="1:6" x14ac:dyDescent="0.25">
      <c r="A64" s="110">
        <v>499</v>
      </c>
      <c r="B64" s="89">
        <v>4</v>
      </c>
    </row>
    <row r="65" spans="1:2" x14ac:dyDescent="0.25">
      <c r="A65" s="110">
        <v>500</v>
      </c>
      <c r="B65" s="89">
        <v>6</v>
      </c>
    </row>
    <row r="66" spans="1:2" x14ac:dyDescent="0.25">
      <c r="A66" s="110">
        <v>749</v>
      </c>
      <c r="B66" s="89">
        <v>6</v>
      </c>
    </row>
    <row r="67" spans="1:2" x14ac:dyDescent="0.25">
      <c r="A67" s="110">
        <v>750</v>
      </c>
      <c r="B67" s="89">
        <v>8</v>
      </c>
    </row>
    <row r="68" spans="1:2" x14ac:dyDescent="0.25">
      <c r="A68" s="110">
        <v>999</v>
      </c>
      <c r="B68" s="89">
        <v>8</v>
      </c>
    </row>
    <row r="69" spans="1:2" x14ac:dyDescent="0.25">
      <c r="A69" s="110">
        <v>1000</v>
      </c>
      <c r="B69" s="89">
        <v>10</v>
      </c>
    </row>
    <row r="70" spans="1:2" ht="15.75" thickBot="1" x14ac:dyDescent="0.3">
      <c r="A70" s="111">
        <v>1001</v>
      </c>
      <c r="B70" s="92">
        <v>10</v>
      </c>
    </row>
  </sheetData>
  <protectedRanges>
    <protectedRange sqref="A19" name="Range2"/>
    <protectedRange sqref="A16" name="Range2_1"/>
    <protectedRange sqref="A13" name="Range2_2"/>
    <protectedRange sqref="A18" name="Range2_3"/>
    <protectedRange sqref="A15" name="Range2_4"/>
    <protectedRange sqref="A12" name="Range2_5"/>
  </protectedRanges>
  <dataValidations count="2">
    <dataValidation type="list" allowBlank="1" showInputMessage="1" showErrorMessage="1" sqref="A18:A19 A16 A13">
      <formula1>A17:A19</formula1>
    </dataValidation>
    <dataValidation type="list" allowBlank="1" showInputMessage="1" showErrorMessage="1" sqref="A15 A12">
      <formula1>A11:A13</formula1>
    </dataValidation>
  </dataValidations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9"/>
  <sheetViews>
    <sheetView topLeftCell="A7" workbookViewId="0">
      <selection activeCell="A74" sqref="A74:A77"/>
    </sheetView>
  </sheetViews>
  <sheetFormatPr defaultRowHeight="15" x14ac:dyDescent="0.25"/>
  <cols>
    <col min="1" max="1" width="25.85546875" bestFit="1" customWidth="1"/>
    <col min="2" max="8" width="9.7109375" bestFit="1" customWidth="1"/>
    <col min="9" max="9" width="9.85546875" bestFit="1" customWidth="1"/>
  </cols>
  <sheetData>
    <row r="1" spans="1:9" x14ac:dyDescent="0.25">
      <c r="A1" s="1" t="s">
        <v>159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</row>
    <row r="2" spans="1:9" x14ac:dyDescent="0.25">
      <c r="A2" s="1" t="s">
        <v>33</v>
      </c>
      <c r="B2">
        <v>0</v>
      </c>
      <c r="C2">
        <v>0</v>
      </c>
      <c r="D2">
        <v>0</v>
      </c>
      <c r="E2">
        <v>0</v>
      </c>
      <c r="F2">
        <v>0</v>
      </c>
    </row>
    <row r="3" spans="1:9" x14ac:dyDescent="0.25">
      <c r="A3" s="8" t="s">
        <v>23</v>
      </c>
      <c r="B3" s="56">
        <v>0.5</v>
      </c>
      <c r="C3" s="56">
        <v>0.4</v>
      </c>
      <c r="D3" s="56">
        <v>0.25</v>
      </c>
      <c r="E3" s="56">
        <v>0.25</v>
      </c>
      <c r="F3" s="56">
        <v>0.25</v>
      </c>
    </row>
    <row r="4" spans="1:9" x14ac:dyDescent="0.25">
      <c r="A4" s="8" t="s">
        <v>24</v>
      </c>
      <c r="B4" s="56">
        <v>0.75</v>
      </c>
      <c r="C4" s="56">
        <v>0.6</v>
      </c>
      <c r="D4" s="56">
        <v>0.5</v>
      </c>
      <c r="E4" s="56">
        <v>0.5</v>
      </c>
      <c r="F4" s="56">
        <v>0.5</v>
      </c>
    </row>
    <row r="5" spans="1:9" x14ac:dyDescent="0.25">
      <c r="A5" s="8" t="s">
        <v>25</v>
      </c>
      <c r="B5" s="56">
        <v>1</v>
      </c>
      <c r="C5" s="56">
        <v>1</v>
      </c>
      <c r="D5" s="56">
        <v>1</v>
      </c>
      <c r="E5" s="56">
        <v>1</v>
      </c>
      <c r="F5" s="56">
        <v>1</v>
      </c>
    </row>
    <row r="6" spans="1:9" x14ac:dyDescent="0.25">
      <c r="A6" s="8"/>
      <c r="B6" s="56"/>
      <c r="C6" s="56"/>
      <c r="D6" s="56"/>
      <c r="E6" s="56"/>
      <c r="F6" s="56"/>
    </row>
    <row r="7" spans="1:9" x14ac:dyDescent="0.25">
      <c r="A7" s="8"/>
      <c r="B7" s="56"/>
      <c r="C7" s="56"/>
      <c r="D7" s="56"/>
      <c r="E7" s="56"/>
      <c r="F7" s="56"/>
    </row>
    <row r="8" spans="1:9" x14ac:dyDescent="0.25">
      <c r="A8" s="8" t="s">
        <v>94</v>
      </c>
      <c r="B8" s="56"/>
      <c r="C8" s="56"/>
      <c r="D8" s="56"/>
      <c r="E8" s="56"/>
      <c r="F8" s="56"/>
    </row>
    <row r="9" spans="1:9" x14ac:dyDescent="0.25">
      <c r="A9" s="121"/>
    </row>
    <row r="10" spans="1:9" x14ac:dyDescent="0.25">
      <c r="A10" s="8"/>
    </row>
    <row r="11" spans="1:9" x14ac:dyDescent="0.25">
      <c r="A11" s="8"/>
    </row>
    <row r="12" spans="1:9" x14ac:dyDescent="0.25">
      <c r="A12" s="8"/>
    </row>
    <row r="13" spans="1:9" x14ac:dyDescent="0.25">
      <c r="A13" t="s">
        <v>163</v>
      </c>
    </row>
    <row r="14" spans="1:9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</row>
    <row r="15" spans="1:9" x14ac:dyDescent="0.25">
      <c r="B15" t="s">
        <v>90</v>
      </c>
      <c r="C15" t="s">
        <v>90</v>
      </c>
      <c r="D15" t="s">
        <v>91</v>
      </c>
      <c r="E15" t="s">
        <v>91</v>
      </c>
      <c r="F15" t="s">
        <v>92</v>
      </c>
      <c r="G15" t="s">
        <v>92</v>
      </c>
      <c r="H15" t="s">
        <v>93</v>
      </c>
      <c r="I15" t="s">
        <v>93</v>
      </c>
    </row>
    <row r="16" spans="1:9" x14ac:dyDescent="0.25">
      <c r="A16" s="1" t="s">
        <v>168</v>
      </c>
      <c r="B16" t="s">
        <v>86</v>
      </c>
      <c r="C16" t="s">
        <v>87</v>
      </c>
      <c r="D16" t="s">
        <v>86</v>
      </c>
      <c r="E16" t="s">
        <v>87</v>
      </c>
      <c r="F16" t="s">
        <v>86</v>
      </c>
      <c r="G16" t="s">
        <v>87</v>
      </c>
      <c r="H16" t="s">
        <v>86</v>
      </c>
      <c r="I16" t="s">
        <v>87</v>
      </c>
    </row>
    <row r="17" spans="1:12" x14ac:dyDescent="0.25">
      <c r="A17" s="1" t="s">
        <v>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12" x14ac:dyDescent="0.25">
      <c r="A18" s="122" t="s">
        <v>129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12" x14ac:dyDescent="0.25">
      <c r="A19" s="123" t="s">
        <v>89</v>
      </c>
      <c r="B19">
        <v>2</v>
      </c>
      <c r="C19">
        <v>1</v>
      </c>
      <c r="D19">
        <v>1</v>
      </c>
      <c r="E19">
        <v>0.5</v>
      </c>
      <c r="F19">
        <v>0.3</v>
      </c>
      <c r="G19">
        <v>0.2</v>
      </c>
      <c r="H19">
        <v>0.3</v>
      </c>
      <c r="I19">
        <v>0.2</v>
      </c>
    </row>
    <row r="20" spans="1:12" x14ac:dyDescent="0.25">
      <c r="A20" s="122" t="s">
        <v>88</v>
      </c>
      <c r="B20">
        <v>6</v>
      </c>
      <c r="C20">
        <v>3</v>
      </c>
      <c r="D20">
        <v>3</v>
      </c>
      <c r="E20">
        <v>1.5</v>
      </c>
      <c r="F20">
        <v>1</v>
      </c>
      <c r="G20">
        <v>0.6</v>
      </c>
      <c r="H20">
        <v>1</v>
      </c>
      <c r="I20">
        <v>0.6</v>
      </c>
    </row>
    <row r="21" spans="1:12" x14ac:dyDescent="0.25">
      <c r="A21" s="122" t="s">
        <v>26</v>
      </c>
      <c r="B21">
        <v>25</v>
      </c>
      <c r="C21">
        <v>13</v>
      </c>
      <c r="D21">
        <v>13</v>
      </c>
      <c r="E21">
        <v>6.5</v>
      </c>
      <c r="F21">
        <v>3</v>
      </c>
      <c r="G21">
        <v>1</v>
      </c>
      <c r="H21">
        <v>3</v>
      </c>
      <c r="I21">
        <v>1</v>
      </c>
    </row>
    <row r="22" spans="1:12" x14ac:dyDescent="0.25">
      <c r="A22" s="122" t="s">
        <v>27</v>
      </c>
      <c r="B22">
        <v>40</v>
      </c>
      <c r="C22">
        <v>20</v>
      </c>
      <c r="D22">
        <v>20</v>
      </c>
      <c r="E22">
        <v>10</v>
      </c>
      <c r="F22">
        <v>5</v>
      </c>
      <c r="G22">
        <v>3</v>
      </c>
      <c r="H22">
        <v>5</v>
      </c>
      <c r="I22">
        <v>3</v>
      </c>
    </row>
    <row r="24" spans="1:12" x14ac:dyDescent="0.25">
      <c r="A24" s="57" t="s">
        <v>162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x14ac:dyDescent="0.25">
      <c r="A25" s="56" t="s">
        <v>90</v>
      </c>
      <c r="B25" s="56" t="s">
        <v>83</v>
      </c>
      <c r="C25" s="56">
        <v>15</v>
      </c>
      <c r="D25" s="56"/>
      <c r="E25" s="56"/>
      <c r="F25" s="56"/>
      <c r="G25" s="56"/>
      <c r="H25" s="56"/>
      <c r="I25" s="56"/>
      <c r="J25" s="56"/>
      <c r="K25" s="56"/>
      <c r="L25" s="56"/>
    </row>
    <row r="26" spans="1:12" x14ac:dyDescent="0.25">
      <c r="A26" s="56" t="s">
        <v>90</v>
      </c>
      <c r="B26" s="56" t="s">
        <v>84</v>
      </c>
      <c r="C26" s="56">
        <v>7</v>
      </c>
    </row>
    <row r="27" spans="1:12" x14ac:dyDescent="0.25">
      <c r="A27" s="56" t="s">
        <v>90</v>
      </c>
      <c r="B27" s="56" t="s">
        <v>85</v>
      </c>
      <c r="C27" s="56">
        <v>3</v>
      </c>
    </row>
    <row r="28" spans="1:12" x14ac:dyDescent="0.25">
      <c r="A28" s="56" t="s">
        <v>91</v>
      </c>
      <c r="B28" s="56" t="s">
        <v>83</v>
      </c>
      <c r="C28" s="56">
        <v>10</v>
      </c>
    </row>
    <row r="29" spans="1:12" x14ac:dyDescent="0.25">
      <c r="A29" s="56" t="s">
        <v>91</v>
      </c>
      <c r="B29" s="56" t="s">
        <v>84</v>
      </c>
      <c r="C29" s="56">
        <v>5</v>
      </c>
    </row>
    <row r="30" spans="1:12" x14ac:dyDescent="0.25">
      <c r="A30" s="56" t="s">
        <v>91</v>
      </c>
      <c r="B30" s="56" t="s">
        <v>85</v>
      </c>
      <c r="C30" s="56">
        <v>2</v>
      </c>
    </row>
    <row r="31" spans="1:12" x14ac:dyDescent="0.25">
      <c r="A31" s="56" t="s">
        <v>92</v>
      </c>
      <c r="B31" s="56" t="s">
        <v>83</v>
      </c>
      <c r="C31" s="56">
        <v>6</v>
      </c>
    </row>
    <row r="32" spans="1:12" x14ac:dyDescent="0.25">
      <c r="A32" s="56" t="s">
        <v>92</v>
      </c>
      <c r="B32" s="56" t="s">
        <v>84</v>
      </c>
      <c r="C32" s="56">
        <v>3</v>
      </c>
    </row>
    <row r="33" spans="1:3" x14ac:dyDescent="0.25">
      <c r="A33" s="56" t="s">
        <v>92</v>
      </c>
      <c r="B33" s="56" t="s">
        <v>85</v>
      </c>
      <c r="C33" s="56">
        <v>0.5</v>
      </c>
    </row>
    <row r="34" spans="1:3" x14ac:dyDescent="0.25">
      <c r="A34" s="56" t="s">
        <v>93</v>
      </c>
      <c r="B34" s="56" t="s">
        <v>83</v>
      </c>
      <c r="C34" s="56">
        <v>6</v>
      </c>
    </row>
    <row r="35" spans="1:3" x14ac:dyDescent="0.25">
      <c r="A35" s="56" t="s">
        <v>93</v>
      </c>
      <c r="B35" s="56" t="s">
        <v>84</v>
      </c>
      <c r="C35" s="56">
        <v>3</v>
      </c>
    </row>
    <row r="36" spans="1:3" x14ac:dyDescent="0.25">
      <c r="A36" s="56" t="s">
        <v>93</v>
      </c>
      <c r="B36" s="56" t="s">
        <v>85</v>
      </c>
      <c r="C36" s="56">
        <v>0.5</v>
      </c>
    </row>
    <row r="38" spans="1:3" x14ac:dyDescent="0.25">
      <c r="A38" s="56" t="s">
        <v>96</v>
      </c>
    </row>
    <row r="39" spans="1:3" x14ac:dyDescent="0.25">
      <c r="A39" s="56" t="s">
        <v>107</v>
      </c>
      <c r="B39">
        <v>0</v>
      </c>
    </row>
    <row r="40" spans="1:3" x14ac:dyDescent="0.25">
      <c r="A40" t="s">
        <v>108</v>
      </c>
      <c r="B40">
        <v>0.5</v>
      </c>
    </row>
    <row r="41" spans="1:3" x14ac:dyDescent="0.25">
      <c r="A41" t="s">
        <v>98</v>
      </c>
      <c r="B41">
        <v>0.75</v>
      </c>
    </row>
    <row r="42" spans="1:3" x14ac:dyDescent="0.25">
      <c r="A42" t="s">
        <v>97</v>
      </c>
      <c r="B42">
        <v>1</v>
      </c>
    </row>
    <row r="43" spans="1:3" x14ac:dyDescent="0.25">
      <c r="A43" t="s">
        <v>109</v>
      </c>
      <c r="B43">
        <v>0.4</v>
      </c>
    </row>
    <row r="44" spans="1:3" x14ac:dyDescent="0.25">
      <c r="A44" t="s">
        <v>99</v>
      </c>
      <c r="B44">
        <v>0.6</v>
      </c>
    </row>
    <row r="45" spans="1:3" x14ac:dyDescent="0.25">
      <c r="A45" t="s">
        <v>100</v>
      </c>
      <c r="B45">
        <v>1</v>
      </c>
    </row>
    <row r="46" spans="1:3" x14ac:dyDescent="0.25">
      <c r="A46" t="s">
        <v>110</v>
      </c>
      <c r="B46">
        <v>0.25</v>
      </c>
    </row>
    <row r="47" spans="1:3" x14ac:dyDescent="0.25">
      <c r="A47" t="s">
        <v>101</v>
      </c>
      <c r="B47">
        <v>0.5</v>
      </c>
    </row>
    <row r="48" spans="1:3" x14ac:dyDescent="0.25">
      <c r="A48" t="s">
        <v>102</v>
      </c>
      <c r="B48">
        <v>1</v>
      </c>
    </row>
    <row r="49" spans="1:3" x14ac:dyDescent="0.25">
      <c r="A49" t="s">
        <v>111</v>
      </c>
      <c r="B49">
        <v>0.25</v>
      </c>
    </row>
    <row r="50" spans="1:3" x14ac:dyDescent="0.25">
      <c r="A50" t="s">
        <v>106</v>
      </c>
      <c r="B50">
        <v>0.5</v>
      </c>
    </row>
    <row r="51" spans="1:3" x14ac:dyDescent="0.25">
      <c r="A51" t="s">
        <v>103</v>
      </c>
      <c r="B51">
        <v>1</v>
      </c>
    </row>
    <row r="52" spans="1:3" x14ac:dyDescent="0.25">
      <c r="A52" t="s">
        <v>112</v>
      </c>
      <c r="B52">
        <v>0.25</v>
      </c>
    </row>
    <row r="53" spans="1:3" x14ac:dyDescent="0.25">
      <c r="A53" t="s">
        <v>105</v>
      </c>
      <c r="B53">
        <v>0.5</v>
      </c>
    </row>
    <row r="54" spans="1:3" x14ac:dyDescent="0.25">
      <c r="A54" t="s">
        <v>104</v>
      </c>
      <c r="B54">
        <v>1</v>
      </c>
    </row>
    <row r="57" spans="1:3" x14ac:dyDescent="0.25">
      <c r="C57" s="56"/>
    </row>
    <row r="58" spans="1:3" x14ac:dyDescent="0.25">
      <c r="A58" s="56" t="s">
        <v>107</v>
      </c>
      <c r="B58">
        <v>0</v>
      </c>
      <c r="C58" t="s">
        <v>169</v>
      </c>
    </row>
    <row r="59" spans="1:3" x14ac:dyDescent="0.25">
      <c r="A59" t="s">
        <v>108</v>
      </c>
      <c r="B59">
        <v>0.5</v>
      </c>
    </row>
    <row r="60" spans="1:3" x14ac:dyDescent="0.25">
      <c r="A60" t="s">
        <v>98</v>
      </c>
      <c r="B60">
        <v>0.75</v>
      </c>
    </row>
    <row r="61" spans="1:3" x14ac:dyDescent="0.25">
      <c r="A61" t="s">
        <v>97</v>
      </c>
      <c r="B61">
        <v>1</v>
      </c>
    </row>
    <row r="62" spans="1:3" x14ac:dyDescent="0.25">
      <c r="A62" s="56" t="s">
        <v>107</v>
      </c>
      <c r="B62">
        <v>0</v>
      </c>
      <c r="C62" t="s">
        <v>170</v>
      </c>
    </row>
    <row r="63" spans="1:3" x14ac:dyDescent="0.25">
      <c r="A63" t="s">
        <v>109</v>
      </c>
      <c r="B63">
        <v>0.4</v>
      </c>
    </row>
    <row r="64" spans="1:3" x14ac:dyDescent="0.25">
      <c r="A64" t="s">
        <v>99</v>
      </c>
      <c r="B64">
        <v>0.6</v>
      </c>
    </row>
    <row r="65" spans="1:5" x14ac:dyDescent="0.25">
      <c r="A65" t="s">
        <v>100</v>
      </c>
      <c r="B65">
        <v>1</v>
      </c>
    </row>
    <row r="66" spans="1:5" x14ac:dyDescent="0.25">
      <c r="A66" s="56" t="s">
        <v>107</v>
      </c>
      <c r="B66">
        <v>0</v>
      </c>
      <c r="C66" t="s">
        <v>171</v>
      </c>
    </row>
    <row r="67" spans="1:5" x14ac:dyDescent="0.25">
      <c r="A67" t="s">
        <v>110</v>
      </c>
      <c r="B67">
        <v>0.25</v>
      </c>
    </row>
    <row r="68" spans="1:5" x14ac:dyDescent="0.25">
      <c r="A68" t="s">
        <v>101</v>
      </c>
      <c r="B68">
        <v>0.5</v>
      </c>
    </row>
    <row r="69" spans="1:5" x14ac:dyDescent="0.25">
      <c r="A69" t="s">
        <v>102</v>
      </c>
      <c r="B69">
        <v>1</v>
      </c>
    </row>
    <row r="70" spans="1:5" x14ac:dyDescent="0.25">
      <c r="A70" s="56" t="s">
        <v>107</v>
      </c>
      <c r="B70">
        <v>0</v>
      </c>
      <c r="C70" t="s">
        <v>172</v>
      </c>
    </row>
    <row r="71" spans="1:5" x14ac:dyDescent="0.25">
      <c r="A71" t="s">
        <v>111</v>
      </c>
      <c r="B71">
        <v>0.25</v>
      </c>
    </row>
    <row r="72" spans="1:5" x14ac:dyDescent="0.25">
      <c r="A72" t="s">
        <v>106</v>
      </c>
      <c r="B72">
        <v>0.5</v>
      </c>
    </row>
    <row r="73" spans="1:5" x14ac:dyDescent="0.25">
      <c r="A73" t="s">
        <v>103</v>
      </c>
      <c r="B73">
        <v>1</v>
      </c>
    </row>
    <row r="74" spans="1:5" x14ac:dyDescent="0.25">
      <c r="A74" s="56" t="s">
        <v>107</v>
      </c>
      <c r="B74">
        <v>0</v>
      </c>
      <c r="C74" t="s">
        <v>173</v>
      </c>
    </row>
    <row r="75" spans="1:5" x14ac:dyDescent="0.25">
      <c r="A75" t="s">
        <v>112</v>
      </c>
      <c r="B75">
        <v>0.25</v>
      </c>
    </row>
    <row r="76" spans="1:5" x14ac:dyDescent="0.25">
      <c r="A76" t="s">
        <v>105</v>
      </c>
      <c r="B76">
        <v>0.5</v>
      </c>
    </row>
    <row r="77" spans="1:5" x14ac:dyDescent="0.25">
      <c r="A77" t="s">
        <v>104</v>
      </c>
      <c r="B77">
        <v>1</v>
      </c>
    </row>
    <row r="80" spans="1:5" x14ac:dyDescent="0.25">
      <c r="A80" t="s">
        <v>160</v>
      </c>
      <c r="B80">
        <v>2</v>
      </c>
      <c r="C80">
        <v>3</v>
      </c>
      <c r="D80">
        <v>4</v>
      </c>
      <c r="E80">
        <v>5</v>
      </c>
    </row>
    <row r="81" spans="1:5" x14ac:dyDescent="0.25">
      <c r="B81" t="s">
        <v>90</v>
      </c>
      <c r="C81" t="s">
        <v>91</v>
      </c>
      <c r="D81" t="s">
        <v>92</v>
      </c>
      <c r="E81" t="s">
        <v>93</v>
      </c>
    </row>
    <row r="82" spans="1:5" x14ac:dyDescent="0.25">
      <c r="A82" t="s">
        <v>83</v>
      </c>
      <c r="B82">
        <v>40</v>
      </c>
      <c r="C82">
        <v>30</v>
      </c>
      <c r="D82">
        <v>25</v>
      </c>
      <c r="E82">
        <v>25</v>
      </c>
    </row>
    <row r="83" spans="1:5" x14ac:dyDescent="0.25">
      <c r="A83" s="1" t="s">
        <v>84</v>
      </c>
      <c r="B83">
        <v>20</v>
      </c>
      <c r="C83">
        <v>15</v>
      </c>
      <c r="D83">
        <v>13</v>
      </c>
      <c r="E83">
        <v>13</v>
      </c>
    </row>
    <row r="84" spans="1:5" x14ac:dyDescent="0.25">
      <c r="A84" s="1" t="s">
        <v>85</v>
      </c>
      <c r="B84">
        <v>10</v>
      </c>
      <c r="C84">
        <v>7</v>
      </c>
      <c r="D84">
        <v>6</v>
      </c>
      <c r="E84">
        <v>6</v>
      </c>
    </row>
    <row r="85" spans="1:5" x14ac:dyDescent="0.25">
      <c r="A85" s="1" t="s">
        <v>86</v>
      </c>
      <c r="B85">
        <v>5</v>
      </c>
      <c r="C85">
        <v>4</v>
      </c>
      <c r="D85">
        <v>3</v>
      </c>
      <c r="E85">
        <v>3</v>
      </c>
    </row>
    <row r="86" spans="1:5" x14ac:dyDescent="0.25">
      <c r="A86" s="1" t="s">
        <v>87</v>
      </c>
      <c r="B86">
        <v>3</v>
      </c>
      <c r="C86">
        <v>2</v>
      </c>
      <c r="D86">
        <v>1</v>
      </c>
      <c r="E86">
        <v>1</v>
      </c>
    </row>
    <row r="90" spans="1:5" x14ac:dyDescent="0.25">
      <c r="A90" t="s">
        <v>161</v>
      </c>
    </row>
    <row r="91" spans="1:5" x14ac:dyDescent="0.25">
      <c r="A91">
        <v>0</v>
      </c>
      <c r="B91" s="83" t="s">
        <v>118</v>
      </c>
    </row>
    <row r="92" spans="1:5" x14ac:dyDescent="0.25">
      <c r="A92">
        <v>1</v>
      </c>
      <c r="B92" s="83" t="str">
        <f>IF(Npu!H65&gt;0,"Level 1 BMPs Required (Neighboring Facilities)", "No BMPs Required")</f>
        <v>No BMPs Required</v>
      </c>
    </row>
    <row r="93" spans="1:5" x14ac:dyDescent="0.25">
      <c r="A93">
        <v>49</v>
      </c>
      <c r="B93" s="83" t="str">
        <f>IF(Npu!H65&gt;0,"Level 1 BMPs Required (Neighboring Facilities)", "No BMPs Required")</f>
        <v>No BMPs Required</v>
      </c>
    </row>
    <row r="94" spans="1:5" x14ac:dyDescent="0.25">
      <c r="A94">
        <v>50</v>
      </c>
      <c r="B94" t="s">
        <v>119</v>
      </c>
    </row>
    <row r="95" spans="1:5" x14ac:dyDescent="0.25">
      <c r="A95">
        <v>99</v>
      </c>
      <c r="B95" t="s">
        <v>119</v>
      </c>
    </row>
    <row r="96" spans="1:5" x14ac:dyDescent="0.25">
      <c r="A96">
        <v>100</v>
      </c>
      <c r="B96" t="s">
        <v>120</v>
      </c>
    </row>
    <row r="97" spans="1:2" x14ac:dyDescent="0.25">
      <c r="A97">
        <v>500</v>
      </c>
      <c r="B97" t="s">
        <v>120</v>
      </c>
    </row>
    <row r="98" spans="1:2" x14ac:dyDescent="0.25">
      <c r="A98">
        <v>1000</v>
      </c>
      <c r="B98" t="s">
        <v>120</v>
      </c>
    </row>
    <row r="99" spans="1:2" x14ac:dyDescent="0.25">
      <c r="A99">
        <v>5000</v>
      </c>
      <c r="B99" t="s">
        <v>120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0A7FBDA9B7840AD4590AFE6A58A07" ma:contentTypeVersion="1" ma:contentTypeDescription="Create a new document." ma:contentTypeScope="" ma:versionID="c4d47258a6ad87b3ad1bfd63710d75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FDC89F-7CE4-4572-A60C-D1AF3F7C3B5D}"/>
</file>

<file path=customXml/itemProps2.xml><?xml version="1.0" encoding="utf-8"?>
<ds:datastoreItem xmlns:ds="http://schemas.openxmlformats.org/officeDocument/2006/customXml" ds:itemID="{D4C5C839-F9C1-4089-AAD9-4DFC10B4463E}"/>
</file>

<file path=customXml/itemProps3.xml><?xml version="1.0" encoding="utf-8"?>
<ds:datastoreItem xmlns:ds="http://schemas.openxmlformats.org/officeDocument/2006/customXml" ds:itemID="{F6F21ABF-DC74-4EC3-B539-867B86BB0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69</vt:i4>
      </vt:variant>
    </vt:vector>
  </HeadingPairs>
  <TitlesOfParts>
    <vt:vector size="73" baseType="lpstr">
      <vt:lpstr>OSI</vt:lpstr>
      <vt:lpstr>Npu</vt:lpstr>
      <vt:lpstr>tblOsi</vt:lpstr>
      <vt:lpstr>neighb_look up tables</vt:lpstr>
      <vt:lpstr>aeus_covered_by_omp</vt:lpstr>
      <vt:lpstr>ag_preserved_score</vt:lpstr>
      <vt:lpstr>ag_security_zone</vt:lpstr>
      <vt:lpstr>ag_security_zone_score</vt:lpstr>
      <vt:lpstr>ag_zoning</vt:lpstr>
      <vt:lpstr>ag_zoning_score</vt:lpstr>
      <vt:lpstr>AgZoning</vt:lpstr>
      <vt:lpstr>AmountHomes</vt:lpstr>
      <vt:lpstr>ASA</vt:lpstr>
      <vt:lpstr>distance_to_nearest_property</vt:lpstr>
      <vt:lpstr>distance_to_property_line_score</vt:lpstr>
      <vt:lpstr>east_1200_1800_score</vt:lpstr>
      <vt:lpstr>east_1800_2400_score</vt:lpstr>
      <vt:lpstr>east_2400_3000_score</vt:lpstr>
      <vt:lpstr>east_600_1200_score</vt:lpstr>
      <vt:lpstr>east_600_score</vt:lpstr>
      <vt:lpstr>evaluation_distance</vt:lpstr>
      <vt:lpstr>facility_size_covered_by_omp</vt:lpstr>
      <vt:lpstr>facility_size_score</vt:lpstr>
      <vt:lpstr>final_osi_score</vt:lpstr>
      <vt:lpstr>LivestockHistory</vt:lpstr>
      <vt:lpstr>N1200to1800Shielding</vt:lpstr>
      <vt:lpstr>N1800to2400Shielding</vt:lpstr>
      <vt:lpstr>N2400to3000Shielding</vt:lpstr>
      <vt:lpstr>N600to1200Shielding</vt:lpstr>
      <vt:lpstr>neighbor_homes_score</vt:lpstr>
      <vt:lpstr>neighbor_preserved</vt:lpstr>
      <vt:lpstr>neighbor_preserved_score</vt:lpstr>
      <vt:lpstr>NeighborPreserved</vt:lpstr>
      <vt:lpstr>north_1200_1800_score</vt:lpstr>
      <vt:lpstr>north_1800_2400_score</vt:lpstr>
      <vt:lpstr>north_2400_3000_score</vt:lpstr>
      <vt:lpstr>north_600_1200_score</vt:lpstr>
      <vt:lpstr>north_600_score</vt:lpstr>
      <vt:lpstr>other_livestock_in_evaluation</vt:lpstr>
      <vt:lpstr>other_livestock_score</vt:lpstr>
      <vt:lpstr>OtherLivestockOps</vt:lpstr>
      <vt:lpstr>part_a_source_factors</vt:lpstr>
      <vt:lpstr>part_b_site_land_use</vt:lpstr>
      <vt:lpstr>part_c_surrounding_land_use</vt:lpstr>
      <vt:lpstr>Preserved</vt:lpstr>
      <vt:lpstr>preserved_farm</vt:lpstr>
      <vt:lpstr>Previously_Approve_AEUs</vt:lpstr>
      <vt:lpstr>Npu!Print_Area</vt:lpstr>
      <vt:lpstr>OSI!Print_Area</vt:lpstr>
      <vt:lpstr>PropertyLine</vt:lpstr>
      <vt:lpstr>pub_use_facilities_score</vt:lpstr>
      <vt:lpstr>site_livestock_history</vt:lpstr>
      <vt:lpstr>site_livestock_history_score</vt:lpstr>
      <vt:lpstr>south_1200_1800_score</vt:lpstr>
      <vt:lpstr>south_1800_2400_score</vt:lpstr>
      <vt:lpstr>south_2400_3000_score</vt:lpstr>
      <vt:lpstr>south_600_1200_score</vt:lpstr>
      <vt:lpstr>south_600_score</vt:lpstr>
      <vt:lpstr>Species_factor</vt:lpstr>
      <vt:lpstr>SpeciesType</vt:lpstr>
      <vt:lpstr>storage_type</vt:lpstr>
      <vt:lpstr>storage_type_score</vt:lpstr>
      <vt:lpstr>StorageType</vt:lpstr>
      <vt:lpstr>total_part_a</vt:lpstr>
      <vt:lpstr>total_part_b</vt:lpstr>
      <vt:lpstr>total_part_c</vt:lpstr>
      <vt:lpstr>type_of_operation</vt:lpstr>
      <vt:lpstr>Under600Shielding</vt:lpstr>
      <vt:lpstr>west_1200_1800_score</vt:lpstr>
      <vt:lpstr>west_1800_2400_score</vt:lpstr>
      <vt:lpstr>west_2400_3000_score</vt:lpstr>
      <vt:lpstr>west_600_1200_score</vt:lpstr>
      <vt:lpstr>west_600_score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rrichardso</dc:creator>
  <cp:lastModifiedBy>Deaton, Aaron</cp:lastModifiedBy>
  <cp:lastPrinted>2013-07-09T14:23:54Z</cp:lastPrinted>
  <dcterms:created xsi:type="dcterms:W3CDTF">2011-06-09T16:59:41Z</dcterms:created>
  <dcterms:modified xsi:type="dcterms:W3CDTF">2014-01-30T16:07:40Z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0x0101003FB0A7FBDA9B7840AD4590AFE6A58A07</vt:lpwstr>
  </property>
  <property fmtid="{D5CDD505-2E9C-101B-9397-08002B2CF9AE}" pid="3" name="Order">
    <vt:r8>1100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